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9435" windowHeight="5475"/>
  </bookViews>
  <sheets>
    <sheet name="ft_pt_employees_occupation" sheetId="3" r:id="rId1"/>
  </sheets>
  <definedNames>
    <definedName name="HTML_CodePage" hidden="1">1252</definedName>
    <definedName name="HTML_Control" hidden="1">{"'ft_pt_employee_occupation'!$B$7:$AU$32"}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Documents\FrontPage\ft_pt_employees_occupation.htm"</definedName>
    <definedName name="HTML_Title" hidden="1">""</definedName>
    <definedName name="_xlnm.Print_Area" localSheetId="0">ft_pt_employees_occupation!$A$1:$CL$36</definedName>
    <definedName name="_xlnm.Print_Titles" localSheetId="0">ft_pt_employees_occupation!$B:$B</definedName>
  </definedNames>
  <calcPr calcId="145621"/>
</workbook>
</file>

<file path=xl/calcChain.xml><?xml version="1.0" encoding="utf-8"?>
<calcChain xmlns="http://schemas.openxmlformats.org/spreadsheetml/2006/main">
  <c r="CH28" i="3" l="1"/>
  <c r="CG28" i="3"/>
  <c r="CH20" i="3"/>
  <c r="CG20" i="3"/>
  <c r="CG31" i="3" l="1"/>
  <c r="CH31" i="3"/>
  <c r="CE28" i="3"/>
  <c r="CD28" i="3"/>
  <c r="CE20" i="3"/>
  <c r="CE31" i="3" s="1"/>
  <c r="CD20" i="3"/>
  <c r="CB28" i="3"/>
  <c r="CA28" i="3"/>
  <c r="CB20" i="3"/>
  <c r="CB31" i="3" s="1"/>
  <c r="CA20" i="3"/>
  <c r="CA13" i="3"/>
  <c r="BY28" i="3"/>
  <c r="BX28" i="3"/>
  <c r="BY20" i="3"/>
  <c r="BX20" i="3"/>
  <c r="BV28" i="3"/>
  <c r="BU28" i="3"/>
  <c r="BV20" i="3"/>
  <c r="BU20" i="3"/>
  <c r="BS28" i="3"/>
  <c r="BR28" i="3"/>
  <c r="BR20" i="3"/>
  <c r="BS18" i="3"/>
  <c r="BS20" i="3" s="1"/>
  <c r="BS31" i="3" s="1"/>
  <c r="BP20" i="3"/>
  <c r="BP28" i="3"/>
  <c r="BO20" i="3"/>
  <c r="BO28" i="3"/>
  <c r="CK20" i="3"/>
  <c r="CK28" i="3"/>
  <c r="CJ20" i="3"/>
  <c r="CJ28" i="3"/>
  <c r="BM27" i="3"/>
  <c r="BM26" i="3"/>
  <c r="BM28" i="3" s="1"/>
  <c r="BM24" i="3"/>
  <c r="BM25" i="3"/>
  <c r="BM23" i="3"/>
  <c r="BL27" i="3"/>
  <c r="BL26" i="3"/>
  <c r="BL24" i="3"/>
  <c r="BL25" i="3"/>
  <c r="BL23" i="3"/>
  <c r="BL28" i="3" s="1"/>
  <c r="BM19" i="3"/>
  <c r="BM18" i="3"/>
  <c r="BL18" i="3"/>
  <c r="BL17" i="3"/>
  <c r="BL16" i="3"/>
  <c r="BM13" i="3"/>
  <c r="BL13" i="3"/>
  <c r="BJ18" i="3"/>
  <c r="BJ20" i="3" s="1"/>
  <c r="BJ19" i="3"/>
  <c r="BJ23" i="3"/>
  <c r="BJ24" i="3"/>
  <c r="BJ25" i="3"/>
  <c r="BJ26" i="3"/>
  <c r="BJ27" i="3"/>
  <c r="BJ13" i="3"/>
  <c r="BI16" i="3"/>
  <c r="BI20" i="3" s="1"/>
  <c r="BI17" i="3"/>
  <c r="BI18" i="3"/>
  <c r="BI23" i="3"/>
  <c r="BI24" i="3"/>
  <c r="BI25" i="3"/>
  <c r="BI26" i="3"/>
  <c r="BI27" i="3"/>
  <c r="BI13" i="3"/>
  <c r="BG18" i="3"/>
  <c r="BG19" i="3"/>
  <c r="BG23" i="3"/>
  <c r="BG24" i="3"/>
  <c r="BG25" i="3"/>
  <c r="BG26" i="3"/>
  <c r="BG27" i="3"/>
  <c r="BG13" i="3"/>
  <c r="BF16" i="3"/>
  <c r="BF17" i="3"/>
  <c r="BF18" i="3"/>
  <c r="BF20" i="3" s="1"/>
  <c r="BF23" i="3"/>
  <c r="BF24" i="3"/>
  <c r="BF25" i="3"/>
  <c r="BF26" i="3"/>
  <c r="BF27" i="3"/>
  <c r="BF13" i="3"/>
  <c r="BD18" i="3"/>
  <c r="BD19" i="3"/>
  <c r="BD23" i="3"/>
  <c r="BD24" i="3"/>
  <c r="BD25" i="3"/>
  <c r="BD27" i="3"/>
  <c r="BD13" i="3"/>
  <c r="BC16" i="3"/>
  <c r="BC17" i="3"/>
  <c r="BC18" i="3"/>
  <c r="BC23" i="3"/>
  <c r="BC24" i="3"/>
  <c r="BC25" i="3"/>
  <c r="BC26" i="3"/>
  <c r="BC27" i="3"/>
  <c r="BC13" i="3"/>
  <c r="BA18" i="3"/>
  <c r="BA19" i="3"/>
  <c r="BA23" i="3"/>
  <c r="BA24" i="3"/>
  <c r="BA25" i="3"/>
  <c r="BA27" i="3"/>
  <c r="BA13" i="3"/>
  <c r="AZ16" i="3"/>
  <c r="AZ17" i="3"/>
  <c r="AZ18" i="3"/>
  <c r="AZ23" i="3"/>
  <c r="AZ24" i="3"/>
  <c r="AZ25" i="3"/>
  <c r="AZ26" i="3"/>
  <c r="AZ27" i="3"/>
  <c r="AZ13" i="3"/>
  <c r="AX18" i="3"/>
  <c r="AX19" i="3"/>
  <c r="AX23" i="3"/>
  <c r="AX24" i="3"/>
  <c r="AX25" i="3"/>
  <c r="AX27" i="3"/>
  <c r="AX13" i="3"/>
  <c r="AW16" i="3"/>
  <c r="AW17" i="3"/>
  <c r="AW18" i="3"/>
  <c r="AW23" i="3"/>
  <c r="AW24" i="3"/>
  <c r="AW25" i="3"/>
  <c r="AW26" i="3"/>
  <c r="AW27" i="3"/>
  <c r="AW13" i="3"/>
  <c r="AU18" i="3"/>
  <c r="AU19" i="3"/>
  <c r="AT16" i="3"/>
  <c r="AT20" i="3" s="1"/>
  <c r="AT17" i="3"/>
  <c r="AT18" i="3"/>
  <c r="AT23" i="3"/>
  <c r="AT25" i="3"/>
  <c r="AT28" i="3" s="1"/>
  <c r="AT13" i="3"/>
  <c r="AU28" i="3"/>
  <c r="AR27" i="3"/>
  <c r="AR28" i="3" s="1"/>
  <c r="AQ28" i="3"/>
  <c r="AO23" i="3"/>
  <c r="AO28" i="3"/>
  <c r="AN28" i="3"/>
  <c r="AL24" i="3"/>
  <c r="AL28" i="3" s="1"/>
  <c r="AK28" i="3"/>
  <c r="AI28" i="3"/>
  <c r="AH28" i="3"/>
  <c r="AF28" i="3"/>
  <c r="AE23" i="3"/>
  <c r="AE24" i="3"/>
  <c r="AE25" i="3"/>
  <c r="AC28" i="3"/>
  <c r="AB28" i="3"/>
  <c r="Z28" i="3"/>
  <c r="Y28" i="3"/>
  <c r="W28" i="3"/>
  <c r="V28" i="3"/>
  <c r="T28" i="3"/>
  <c r="S28" i="3"/>
  <c r="Q28" i="3"/>
  <c r="P28" i="3"/>
  <c r="N28" i="3"/>
  <c r="M28" i="3"/>
  <c r="K28" i="3"/>
  <c r="J28" i="3"/>
  <c r="H28" i="3"/>
  <c r="G28" i="3"/>
  <c r="E28" i="3"/>
  <c r="D28" i="3"/>
  <c r="AF19" i="3"/>
  <c r="AF18" i="3"/>
  <c r="AE13" i="3"/>
  <c r="AE18" i="3"/>
  <c r="AE17" i="3"/>
  <c r="AE16" i="3"/>
  <c r="N20" i="3"/>
  <c r="N31" i="3" s="1"/>
  <c r="M20" i="3"/>
  <c r="M31" i="3" s="1"/>
  <c r="K20" i="3"/>
  <c r="K31" i="3"/>
  <c r="J20" i="3"/>
  <c r="J31" i="3" s="1"/>
  <c r="H20" i="3"/>
  <c r="H31" i="3"/>
  <c r="G20" i="3"/>
  <c r="G31" i="3" s="1"/>
  <c r="E20" i="3"/>
  <c r="E31" i="3"/>
  <c r="D20" i="3"/>
  <c r="D31" i="3" s="1"/>
  <c r="AQ18" i="3"/>
  <c r="AQ17" i="3"/>
  <c r="AQ16" i="3"/>
  <c r="AR19" i="3"/>
  <c r="AR18" i="3"/>
  <c r="AN18" i="3"/>
  <c r="AN17" i="3"/>
  <c r="AN16" i="3"/>
  <c r="AO19" i="3"/>
  <c r="AO20" i="3" s="1"/>
  <c r="AO31" i="3" s="1"/>
  <c r="AO18" i="3"/>
  <c r="AL19" i="3"/>
  <c r="AL18" i="3"/>
  <c r="AK18" i="3"/>
  <c r="AK17" i="3"/>
  <c r="AK16" i="3"/>
  <c r="BM20" i="3"/>
  <c r="BM31" i="3" s="1"/>
  <c r="BL20" i="3"/>
  <c r="AI20" i="3"/>
  <c r="AI31" i="3" s="1"/>
  <c r="AH20" i="3"/>
  <c r="AH31" i="3"/>
  <c r="AC20" i="3"/>
  <c r="AC31" i="3" s="1"/>
  <c r="AB20" i="3"/>
  <c r="AB31" i="3"/>
  <c r="Z20" i="3"/>
  <c r="Z31" i="3" s="1"/>
  <c r="Y20" i="3"/>
  <c r="Y31" i="3"/>
  <c r="W20" i="3"/>
  <c r="W31" i="3" s="1"/>
  <c r="V20" i="3"/>
  <c r="V31" i="3" s="1"/>
  <c r="T20" i="3"/>
  <c r="T31" i="3" s="1"/>
  <c r="S20" i="3"/>
  <c r="S31" i="3" s="1"/>
  <c r="Q20" i="3"/>
  <c r="Q31" i="3" s="1"/>
  <c r="P20" i="3"/>
  <c r="P31" i="3" s="1"/>
  <c r="BC28" i="3"/>
  <c r="AE28" i="3"/>
  <c r="AL20" i="3" l="1"/>
  <c r="AL31" i="3" s="1"/>
  <c r="AQ20" i="3"/>
  <c r="AQ31" i="3" s="1"/>
  <c r="AX20" i="3"/>
  <c r="BA28" i="3"/>
  <c r="BX31" i="3"/>
  <c r="AR20" i="3"/>
  <c r="AF20" i="3"/>
  <c r="AF31" i="3" s="1"/>
  <c r="AU20" i="3"/>
  <c r="AU31" i="3" s="1"/>
  <c r="AZ28" i="3"/>
  <c r="BC20" i="3"/>
  <c r="BC31" i="3" s="1"/>
  <c r="BU31" i="3"/>
  <c r="CA31" i="3"/>
  <c r="AX28" i="3"/>
  <c r="BG20" i="3"/>
  <c r="BG31" i="3" s="1"/>
  <c r="BO31" i="3"/>
  <c r="BR31" i="3"/>
  <c r="BV31" i="3"/>
  <c r="CD31" i="3"/>
  <c r="AW28" i="3"/>
  <c r="BF28" i="3"/>
  <c r="BI31" i="3"/>
  <c r="BG28" i="3"/>
  <c r="BD20" i="3"/>
  <c r="BD31" i="3" s="1"/>
  <c r="AK20" i="3"/>
  <c r="AK31" i="3" s="1"/>
  <c r="AX31" i="3"/>
  <c r="BF31" i="3"/>
  <c r="BI28" i="3"/>
  <c r="AZ20" i="3"/>
  <c r="AZ31" i="3" s="1"/>
  <c r="BJ28" i="3"/>
  <c r="BP31" i="3"/>
  <c r="AN20" i="3"/>
  <c r="AN31" i="3" s="1"/>
  <c r="BA20" i="3"/>
  <c r="BA31" i="3" s="1"/>
  <c r="BL31" i="3"/>
  <c r="AR31" i="3"/>
  <c r="AE20" i="3"/>
  <c r="AE31" i="3" s="1"/>
  <c r="AT31" i="3"/>
  <c r="AW20" i="3"/>
  <c r="BD28" i="3"/>
  <c r="BY31" i="3"/>
  <c r="CJ31" i="3"/>
  <c r="CK31" i="3"/>
  <c r="AW31" i="3"/>
  <c r="BJ31" i="3"/>
</calcChain>
</file>

<file path=xl/sharedStrings.xml><?xml version="1.0" encoding="utf-8"?>
<sst xmlns="http://schemas.openxmlformats.org/spreadsheetml/2006/main" count="141" uniqueCount="52">
  <si>
    <t>PRIMARY</t>
  </si>
  <si>
    <t>OCCUPATIONAL</t>
  </si>
  <si>
    <t>ACTIVITY</t>
  </si>
  <si>
    <t>Executive/Administrative</t>
  </si>
  <si>
    <t>Tenured</t>
  </si>
  <si>
    <t>Untenured (on track)</t>
  </si>
  <si>
    <t>Other</t>
  </si>
  <si>
    <t>--</t>
  </si>
  <si>
    <t>FACULTY TOTAL</t>
  </si>
  <si>
    <t>Professional Non-Faculty</t>
  </si>
  <si>
    <t>Secretarial/Clerical</t>
  </si>
  <si>
    <t>Technical/Paraprofessional</t>
  </si>
  <si>
    <t>Skilled Craft</t>
  </si>
  <si>
    <t>Service/Maintenance</t>
  </si>
  <si>
    <t>TOTAL</t>
  </si>
  <si>
    <t>Instruction/Research Asst.</t>
  </si>
  <si>
    <t>UNIVERSITY OF MISSOURI-ST. LOUIS</t>
  </si>
  <si>
    <t>(as of 10/31/annually)</t>
  </si>
  <si>
    <t>STAFF TOTAL</t>
  </si>
  <si>
    <t>Full</t>
  </si>
  <si>
    <t>Part</t>
  </si>
  <si>
    <t>Fall 2002</t>
  </si>
  <si>
    <t>Fall 2001</t>
  </si>
  <si>
    <t>Fall 2000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</si>
  <si>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</si>
  <si>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</si>
  <si>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</si>
  <si>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</si>
  <si>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</si>
  <si>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</si>
  <si>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</si>
  <si>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1992</t>
  </si>
  <si>
    <t>Fall 1991</t>
  </si>
  <si>
    <t>Fall 1990</t>
  </si>
  <si>
    <t>Fall 1989</t>
  </si>
  <si>
    <t>Fall 1988</t>
  </si>
  <si>
    <t>Fall 1987</t>
  </si>
  <si>
    <t>Fall 1986</t>
  </si>
  <si>
    <t>Fall 1985</t>
  </si>
  <si>
    <t>Fall 1984</t>
  </si>
  <si>
    <t>TABLE 2-2. FULL- AND PART-TIME EMPLOYEES BY OCCUPATIONAL ACTIVITY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</si>
  <si>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</si>
  <si>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</si>
  <si>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</si>
  <si>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</si>
  <si>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</si>
  <si>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</si>
  <si>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</si>
  <si>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</si>
  <si>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</si>
  <si>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Source: EEO-6 (until 10/31/1992), IPEDS-S (10/31/1993-10/31/2004), IPEDS-HR (10/31/2005-10/31/2011), UM Executive Data Reference, Table 2-2 (10/31/2012)</t>
  </si>
  <si>
    <t>Fall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</si>
</sst>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4" fillId="0" borderId="0" xfId="1" applyFont="1"/>
    <xf numFmtId="0" fontId="4" fillId="0" borderId="0" xfId="1" applyFont="1" applyFill="1"/>
    <xf numFmtId="0" fontId="3" fillId="0" borderId="0" xfId="1" quotePrefix="1" applyFont="1" applyFill="1" applyBorder="1" applyAlignment="1">
      <alignment horizontal="center"/>
    </xf>
    <xf numFmtId="0" fontId="3" fillId="0" borderId="1" xfId="1" applyFont="1" applyBorder="1"/>
    <xf numFmtId="0" fontId="3" fillId="0" borderId="0" xfId="1" applyFont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0" xfId="1" applyFont="1" applyBorder="1"/>
    <xf numFmtId="0" fontId="4" fillId="0" borderId="1" xfId="1" applyFont="1" applyBorder="1"/>
    <xf numFmtId="0" fontId="4" fillId="0" borderId="1" xfId="1" applyFont="1" applyFill="1" applyBorder="1"/>
    <xf numFmtId="0" fontId="2" fillId="0" borderId="2" xfId="1" applyFont="1" applyBorder="1"/>
    <xf numFmtId="0" fontId="2" fillId="0" borderId="2" xfId="1" applyFont="1" applyFill="1" applyBorder="1"/>
    <xf numFmtId="0" fontId="4" fillId="0" borderId="3" xfId="1" applyFont="1" applyBorder="1"/>
    <xf numFmtId="0" fontId="4" fillId="0" borderId="4" xfId="1" applyFont="1" applyBorder="1"/>
    <xf numFmtId="0" fontId="2" fillId="0" borderId="5" xfId="1" applyFont="1" applyBorder="1"/>
    <xf numFmtId="0" fontId="2" fillId="0" borderId="0" xfId="1" applyFont="1" applyBorder="1"/>
    <xf numFmtId="0" fontId="2" fillId="0" borderId="0" xfId="1" applyFont="1" applyFill="1" applyBorder="1"/>
    <xf numFmtId="0" fontId="2" fillId="0" borderId="6" xfId="1" applyFont="1" applyBorder="1"/>
    <xf numFmtId="0" fontId="4" fillId="0" borderId="5" xfId="1" applyFont="1" applyBorder="1"/>
    <xf numFmtId="0" fontId="4" fillId="0" borderId="0" xfId="1" applyFont="1" applyFill="1" applyBorder="1"/>
    <xf numFmtId="0" fontId="4" fillId="0" borderId="6" xfId="1" applyFont="1" applyBorder="1"/>
    <xf numFmtId="0" fontId="3" fillId="0" borderId="0" xfId="1" quotePrefix="1" applyFont="1" applyBorder="1" applyAlignment="1">
      <alignment horizontal="center"/>
    </xf>
    <xf numFmtId="0" fontId="4" fillId="0" borderId="0" xfId="1" quotePrefix="1" applyFont="1" applyFill="1" applyBorder="1" applyAlignment="1">
      <alignment horizontal="right"/>
    </xf>
    <xf numFmtId="0" fontId="4" fillId="0" borderId="0" xfId="1" quotePrefix="1" applyFont="1" applyBorder="1" applyAlignment="1">
      <alignment horizontal="right"/>
    </xf>
    <xf numFmtId="0" fontId="4" fillId="0" borderId="0" xfId="0" applyFont="1" applyBorder="1"/>
    <xf numFmtId="0" fontId="4" fillId="0" borderId="7" xfId="1" applyFont="1" applyBorder="1"/>
    <xf numFmtId="0" fontId="4" fillId="0" borderId="8" xfId="1" applyFont="1" applyBorder="1"/>
    <xf numFmtId="0" fontId="3" fillId="0" borderId="0" xfId="1" applyFont="1" applyFill="1" applyBorder="1" applyAlignment="1">
      <alignment horizontal="right"/>
    </xf>
    <xf numFmtId="0" fontId="3" fillId="0" borderId="5" xfId="1" applyFont="1" applyBorder="1"/>
    <xf numFmtId="3" fontId="3" fillId="0" borderId="0" xfId="1" applyNumberFormat="1" applyFont="1" applyFill="1" applyBorder="1"/>
    <xf numFmtId="3" fontId="3" fillId="0" borderId="0" xfId="1" applyNumberFormat="1" applyFont="1" applyBorder="1"/>
    <xf numFmtId="0" fontId="3" fillId="0" borderId="6" xfId="1" applyFont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4" fillId="0" borderId="9" xfId="1" applyFont="1" applyBorder="1"/>
    <xf numFmtId="0" fontId="3" fillId="0" borderId="0" xfId="1" applyFont="1" applyBorder="1" applyAlignment="1">
      <alignment horizontal="center"/>
    </xf>
    <xf numFmtId="3" fontId="4" fillId="0" borderId="0" xfId="1" applyNumberFormat="1" applyFont="1"/>
    <xf numFmtId="3" fontId="2" fillId="0" borderId="0" xfId="1" applyNumberFormat="1" applyFont="1"/>
    <xf numFmtId="3" fontId="3" fillId="0" borderId="1" xfId="1" applyNumberFormat="1" applyFont="1" applyBorder="1" applyAlignment="1">
      <alignment horizontal="center"/>
    </xf>
    <xf numFmtId="3" fontId="3" fillId="0" borderId="0" xfId="1" applyNumberFormat="1" applyFont="1"/>
    <xf numFmtId="3" fontId="4" fillId="0" borderId="1" xfId="1" applyNumberFormat="1" applyFont="1" applyBorder="1"/>
    <xf numFmtId="3" fontId="2" fillId="0" borderId="2" xfId="1" applyNumberFormat="1" applyFont="1" applyBorder="1"/>
    <xf numFmtId="3" fontId="3" fillId="0" borderId="0" xfId="1" quotePrefix="1" applyNumberFormat="1" applyFont="1" applyFill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4" fillId="0" borderId="0" xfId="1" quotePrefix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10" xfId="1" applyFont="1" applyBorder="1"/>
    <xf numFmtId="0" fontId="4" fillId="0" borderId="10" xfId="1" applyFont="1" applyFill="1" applyBorder="1"/>
    <xf numFmtId="3" fontId="4" fillId="0" borderId="10" xfId="1" applyNumberFormat="1" applyFont="1" applyBorder="1"/>
    <xf numFmtId="3" fontId="4" fillId="0" borderId="0" xfId="1" quotePrefix="1" applyNumberFormat="1" applyFont="1"/>
    <xf numFmtId="3" fontId="3" fillId="0" borderId="1" xfId="1" applyNumberFormat="1" applyFont="1" applyFill="1" applyBorder="1" applyAlignment="1">
      <alignment horizontal="center"/>
    </xf>
    <xf numFmtId="3" fontId="3" fillId="0" borderId="1" xfId="1" quotePrefix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1</xdr:col>
      <xdr:colOff>1085850</xdr:colOff>
      <xdr:row>3</xdr:row>
      <xdr:rowOff>152400</xdr:rowOff>
    </xdr:to>
    <xdr:pic>
      <xdr:nvPicPr>
        <xdr:cNvPr id="103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1450"/>
          <a:ext cx="1019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6"/>
  <sheetViews>
    <sheetView showGridLines="0" tabSelected="1" workbookViewId="0"/>
  </sheetViews>
  <sheetFormatPr defaultRowHeight="12.75" customHeight="1" x14ac:dyDescent="0.2"/>
  <cols>
    <col min="1" max="1" width="1.42578125" style="2" customWidth="1"/>
    <col min="2" max="2" width="19.42578125" style="2" customWidth="1"/>
    <col min="3" max="3" width="1.7109375" style="2" customWidth="1"/>
    <col min="4" max="5" width="4.85546875" style="3" hidden="1" customWidth="1"/>
    <col min="6" max="6" width="1.7109375" style="3" hidden="1" customWidth="1"/>
    <col min="7" max="8" width="4.85546875" style="3" hidden="1" customWidth="1"/>
    <col min="9" max="9" width="1.7109375" style="3" hidden="1" customWidth="1"/>
    <col min="10" max="11" width="4.85546875" style="3" hidden="1" customWidth="1"/>
    <col min="12" max="12" width="1.7109375" style="3" hidden="1" customWidth="1"/>
    <col min="13" max="14" width="4.85546875" style="3" hidden="1" customWidth="1"/>
    <col min="15" max="15" width="1.7109375" style="3" hidden="1" customWidth="1"/>
    <col min="16" max="17" width="4.85546875" style="2" hidden="1" customWidth="1"/>
    <col min="18" max="18" width="1.7109375" style="2" hidden="1" customWidth="1"/>
    <col min="19" max="20" width="4.85546875" style="2" hidden="1" customWidth="1"/>
    <col min="21" max="21" width="1.7109375" style="2" hidden="1" customWidth="1"/>
    <col min="22" max="23" width="4.85546875" style="2" hidden="1" customWidth="1"/>
    <col min="24" max="24" width="1.7109375" style="2" hidden="1" customWidth="1"/>
    <col min="25" max="26" width="4.85546875" style="2" hidden="1" customWidth="1"/>
    <col min="27" max="27" width="1.7109375" style="2" hidden="1" customWidth="1"/>
    <col min="28" max="29" width="4.85546875" style="2" hidden="1" customWidth="1"/>
    <col min="30" max="30" width="1.7109375" style="2" hidden="1" customWidth="1"/>
    <col min="31" max="32" width="4.85546875" style="3" hidden="1" customWidth="1"/>
    <col min="33" max="33" width="1.7109375" style="3" hidden="1" customWidth="1"/>
    <col min="34" max="35" width="4.85546875" style="2" hidden="1" customWidth="1"/>
    <col min="36" max="36" width="1.7109375" style="2" hidden="1" customWidth="1"/>
    <col min="37" max="38" width="4.85546875" style="3" hidden="1" customWidth="1"/>
    <col min="39" max="39" width="1.7109375" style="3" hidden="1" customWidth="1"/>
    <col min="40" max="41" width="4.85546875" style="3" hidden="1" customWidth="1"/>
    <col min="42" max="42" width="1.7109375" style="3" hidden="1" customWidth="1"/>
    <col min="43" max="44" width="4.85546875" style="3" hidden="1" customWidth="1"/>
    <col min="45" max="45" width="1.7109375" style="3" hidden="1" customWidth="1"/>
    <col min="46" max="47" width="4.85546875" style="3" hidden="1" customWidth="1"/>
    <col min="48" max="48" width="1.7109375" style="3" hidden="1" customWidth="1"/>
    <col min="49" max="50" width="4.85546875" style="3" hidden="1" customWidth="1"/>
    <col min="51" max="51" width="1.7109375" style="3" hidden="1" customWidth="1"/>
    <col min="52" max="53" width="4.85546875" style="3" hidden="1" customWidth="1"/>
    <col min="54" max="54" width="1.7109375" style="3" hidden="1" customWidth="1"/>
    <col min="55" max="56" width="4.85546875" style="3" hidden="1" customWidth="1"/>
    <col min="57" max="57" width="1.7109375" style="3" hidden="1" customWidth="1"/>
    <col min="58" max="59" width="4.85546875" style="3" hidden="1" customWidth="1"/>
    <col min="60" max="60" width="1.7109375" style="3" hidden="1" customWidth="1"/>
    <col min="61" max="62" width="4.85546875" style="3" hidden="1" customWidth="1"/>
    <col min="63" max="63" width="1.7109375" style="3" hidden="1" customWidth="1"/>
    <col min="64" max="65" width="4.85546875" style="3" customWidth="1"/>
    <col min="66" max="66" width="1.7109375" style="3" customWidth="1"/>
    <col min="67" max="68" width="4.85546875" style="40" bestFit="1" customWidth="1"/>
    <col min="69" max="69" width="1.42578125" style="40" customWidth="1"/>
    <col min="70" max="71" width="4.85546875" style="40" customWidth="1"/>
    <col min="72" max="72" width="1.42578125" style="40" customWidth="1"/>
    <col min="73" max="74" width="4.85546875" style="40" customWidth="1"/>
    <col min="75" max="75" width="1.42578125" style="2" customWidth="1"/>
    <col min="76" max="77" width="4.85546875" style="40" bestFit="1" customWidth="1"/>
    <col min="78" max="78" width="1.42578125" style="40" customWidth="1"/>
    <col min="79" max="80" width="4.85546875" style="40" customWidth="1"/>
    <col min="81" max="81" width="1.7109375" style="40" customWidth="1"/>
    <col min="82" max="83" width="4.85546875" style="40" customWidth="1"/>
    <col min="84" max="84" width="1.42578125" style="40" customWidth="1"/>
    <col min="85" max="86" width="4.85546875" style="40" customWidth="1"/>
    <col min="87" max="87" width="1.28515625" style="2" customWidth="1"/>
    <col min="88" max="89" width="4.85546875" style="40" bestFit="1" customWidth="1"/>
    <col min="90" max="90" width="1.42578125" style="2" customWidth="1"/>
    <col min="91" max="16384" width="9.140625" style="2"/>
  </cols>
  <sheetData>
    <row r="1" spans="1:90" ht="12.75" customHeight="1" thickBot="1" x14ac:dyDescent="0.25">
      <c r="A1" s="14"/>
      <c r="B1" s="38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1"/>
      <c r="AF1" s="51"/>
      <c r="AG1" s="51"/>
      <c r="AH1" s="50"/>
      <c r="AI1" s="50"/>
      <c r="AJ1" s="50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2"/>
      <c r="BP1" s="52"/>
      <c r="BQ1" s="52"/>
      <c r="BR1" s="52"/>
      <c r="BS1" s="52"/>
      <c r="BT1" s="52"/>
      <c r="BU1" s="52"/>
      <c r="BV1" s="52"/>
      <c r="BW1" s="50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0"/>
      <c r="CJ1" s="52"/>
      <c r="CK1" s="52"/>
      <c r="CL1" s="15"/>
    </row>
    <row r="2" spans="1:90" s="1" customFormat="1" ht="12.75" customHeight="1" thickTop="1" x14ac:dyDescent="0.2">
      <c r="A2" s="16"/>
      <c r="B2" s="17"/>
      <c r="C2" s="17" t="s">
        <v>16</v>
      </c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7"/>
      <c r="AI2" s="17"/>
      <c r="AJ2" s="17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41"/>
      <c r="BP2" s="41"/>
      <c r="BQ2" s="41"/>
      <c r="BR2" s="41"/>
      <c r="BS2" s="41"/>
      <c r="BT2" s="41"/>
      <c r="BU2" s="41"/>
      <c r="BV2" s="41"/>
      <c r="BW2" s="17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17"/>
      <c r="CJ2" s="41"/>
      <c r="CK2" s="41"/>
      <c r="CL2" s="19"/>
    </row>
    <row r="3" spans="1:90" s="1" customFormat="1" ht="12.75" customHeight="1" x14ac:dyDescent="0.2">
      <c r="A3" s="16"/>
      <c r="B3" s="17"/>
      <c r="C3" s="17" t="s">
        <v>40</v>
      </c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8"/>
      <c r="AF3" s="18"/>
      <c r="AG3" s="18"/>
      <c r="AH3" s="17"/>
      <c r="AI3" s="17"/>
      <c r="AJ3" s="17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41"/>
      <c r="BP3" s="41"/>
      <c r="BQ3" s="41"/>
      <c r="BR3" s="41"/>
      <c r="BS3" s="41"/>
      <c r="BT3" s="41"/>
      <c r="BU3" s="41"/>
      <c r="BV3" s="41"/>
      <c r="BW3" s="17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17"/>
      <c r="CJ3" s="41"/>
      <c r="CK3" s="41"/>
      <c r="CL3" s="19"/>
    </row>
    <row r="4" spans="1:90" s="1" customFormat="1" ht="12.75" customHeight="1" thickBot="1" x14ac:dyDescent="0.25">
      <c r="A4" s="16"/>
      <c r="B4" s="17"/>
      <c r="C4" s="12" t="s">
        <v>17</v>
      </c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3"/>
      <c r="AF4" s="13"/>
      <c r="AG4" s="13"/>
      <c r="AH4" s="12"/>
      <c r="AI4" s="12"/>
      <c r="AJ4" s="12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45"/>
      <c r="BP4" s="45"/>
      <c r="BQ4" s="45"/>
      <c r="BR4" s="45"/>
      <c r="BS4" s="45"/>
      <c r="BT4" s="45"/>
      <c r="BU4" s="45"/>
      <c r="BV4" s="45"/>
      <c r="BW4" s="12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12"/>
      <c r="CJ4" s="45"/>
      <c r="CK4" s="45"/>
      <c r="CL4" s="19"/>
    </row>
    <row r="5" spans="1:90" s="1" customFormat="1" ht="12.75" customHeight="1" thickTop="1" x14ac:dyDescent="0.2">
      <c r="A5" s="16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18"/>
      <c r="AG5" s="18"/>
      <c r="AH5" s="17"/>
      <c r="AI5" s="17"/>
      <c r="AJ5" s="17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41"/>
      <c r="BP5" s="41"/>
      <c r="BQ5" s="41"/>
      <c r="BR5" s="41"/>
      <c r="BS5" s="41"/>
      <c r="BT5" s="41"/>
      <c r="BU5" s="41"/>
      <c r="BV5" s="41"/>
      <c r="BW5" s="17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17"/>
      <c r="CJ5" s="41"/>
      <c r="CK5" s="41"/>
      <c r="CL5" s="19"/>
    </row>
    <row r="6" spans="1:90" ht="12.75" customHeight="1" x14ac:dyDescent="0.2">
      <c r="A6" s="20"/>
      <c r="B6" s="9"/>
      <c r="C6" s="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21"/>
      <c r="AF6" s="21"/>
      <c r="AG6" s="21"/>
      <c r="AH6" s="9"/>
      <c r="AI6" s="9"/>
      <c r="AJ6" s="9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W6" s="9"/>
      <c r="CI6" s="9"/>
      <c r="CL6" s="22"/>
    </row>
    <row r="7" spans="1:90" ht="12.75" customHeight="1" x14ac:dyDescent="0.2">
      <c r="A7" s="20"/>
      <c r="B7" s="9"/>
      <c r="C7" s="9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21"/>
      <c r="AF7" s="21"/>
      <c r="AG7" s="21"/>
      <c r="AH7" s="9"/>
      <c r="AI7" s="9"/>
      <c r="AJ7" s="9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W7" s="9"/>
      <c r="CI7" s="9"/>
      <c r="CL7" s="22"/>
    </row>
    <row r="8" spans="1:90" ht="12.75" customHeight="1" x14ac:dyDescent="0.2">
      <c r="A8" s="20"/>
      <c r="B8" s="9"/>
      <c r="C8" s="9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21"/>
      <c r="AF8" s="21"/>
      <c r="AG8" s="21"/>
      <c r="AH8" s="9"/>
      <c r="AI8" s="9"/>
      <c r="AJ8" s="9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W8" s="9"/>
      <c r="CI8" s="9"/>
      <c r="CL8" s="22"/>
    </row>
    <row r="9" spans="1:90" ht="12.75" customHeight="1" x14ac:dyDescent="0.2">
      <c r="A9" s="20"/>
      <c r="B9" s="6" t="s">
        <v>0</v>
      </c>
      <c r="C9" s="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21"/>
      <c r="AF9" s="21"/>
      <c r="AG9" s="21"/>
      <c r="AH9" s="9"/>
      <c r="AI9" s="9"/>
      <c r="AJ9" s="9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W9" s="9"/>
      <c r="CI9" s="9"/>
      <c r="CL9" s="22"/>
    </row>
    <row r="10" spans="1:90" ht="12.75" customHeight="1" x14ac:dyDescent="0.2">
      <c r="A10" s="20"/>
      <c r="B10" s="6" t="s">
        <v>1</v>
      </c>
      <c r="C10" s="6"/>
      <c r="D10" s="56" t="s">
        <v>39</v>
      </c>
      <c r="E10" s="57"/>
      <c r="F10" s="4"/>
      <c r="G10" s="56" t="s">
        <v>38</v>
      </c>
      <c r="H10" s="57"/>
      <c r="I10" s="4"/>
      <c r="J10" s="56" t="s">
        <v>37</v>
      </c>
      <c r="K10" s="57"/>
      <c r="L10" s="4"/>
      <c r="M10" s="56" t="s">
        <v>36</v>
      </c>
      <c r="N10" s="57"/>
      <c r="O10" s="4"/>
      <c r="P10" s="58" t="s">
        <v>35</v>
      </c>
      <c r="Q10" s="59"/>
      <c r="R10" s="23"/>
      <c r="S10" s="58" t="s">
        <v>34</v>
      </c>
      <c r="T10" s="59"/>
      <c r="U10" s="23"/>
      <c r="V10" s="58" t="s">
        <v>33</v>
      </c>
      <c r="W10" s="59"/>
      <c r="X10" s="23"/>
      <c r="Y10" s="58" t="s">
        <v>32</v>
      </c>
      <c r="Z10" s="59"/>
      <c r="AA10" s="23"/>
      <c r="AB10" s="58" t="s">
        <v>31</v>
      </c>
      <c r="AC10" s="59"/>
      <c r="AD10" s="23"/>
      <c r="AE10" s="56" t="s">
        <v>30</v>
      </c>
      <c r="AF10" s="57"/>
      <c r="AG10" s="4"/>
      <c r="AH10" s="58" t="s">
        <v>29</v>
      </c>
      <c r="AI10" s="59"/>
      <c r="AJ10" s="23"/>
      <c r="AK10" s="56" t="s">
        <v>28</v>
      </c>
      <c r="AL10" s="57"/>
      <c r="AM10" s="4"/>
      <c r="AN10" s="56" t="s">
        <v>27</v>
      </c>
      <c r="AO10" s="57"/>
      <c r="AP10" s="4"/>
      <c r="AQ10" s="56" t="s">
        <v>26</v>
      </c>
      <c r="AR10" s="57"/>
      <c r="AS10" s="4"/>
      <c r="AT10" s="56" t="s">
        <v>25</v>
      </c>
      <c r="AU10" s="57"/>
      <c r="AV10" s="4"/>
      <c r="AW10" s="56" t="s">
        <v>24</v>
      </c>
      <c r="AX10" s="57"/>
      <c r="AY10" s="4"/>
      <c r="AZ10" s="56" t="s">
        <v>23</v>
      </c>
      <c r="BA10" s="57"/>
      <c r="BB10" s="4"/>
      <c r="BC10" s="56" t="s">
        <v>22</v>
      </c>
      <c r="BD10" s="57"/>
      <c r="BE10" s="4"/>
      <c r="BF10" s="56" t="s">
        <v>21</v>
      </c>
      <c r="BG10" s="57"/>
      <c r="BH10" s="4"/>
      <c r="BI10" s="56" t="s">
        <v>41</v>
      </c>
      <c r="BJ10" s="57"/>
      <c r="BK10" s="4"/>
      <c r="BL10" s="56" t="s">
        <v>42</v>
      </c>
      <c r="BM10" s="57"/>
      <c r="BN10" s="4"/>
      <c r="BO10" s="54" t="s">
        <v>43</v>
      </c>
      <c r="BP10" s="55"/>
      <c r="BQ10" s="46"/>
      <c r="BR10" s="54" t="s">
        <v>44</v>
      </c>
      <c r="BS10" s="55"/>
      <c r="BT10" s="46"/>
      <c r="BU10" s="54" t="s">
        <v>45</v>
      </c>
      <c r="BV10" s="55"/>
      <c r="BW10" s="9"/>
      <c r="BX10" s="54" t="s">
        <v>46</v>
      </c>
      <c r="BY10" s="55"/>
      <c r="BZ10" s="46"/>
      <c r="CA10" s="54" t="s">
        <v>47</v>
      </c>
      <c r="CB10" s="55"/>
      <c r="CC10" s="46"/>
      <c r="CD10" s="54" t="s">
        <v>48</v>
      </c>
      <c r="CE10" s="55"/>
      <c r="CF10" s="46"/>
      <c r="CG10" s="54" t="s">
        <v>49</v>
      </c>
      <c r="CH10" s="55"/>
      <c r="CI10" s="9"/>
      <c r="CJ10" s="54" t="s">
        <v>51</v>
      </c>
      <c r="CK10" s="55"/>
      <c r="CL10" s="22"/>
    </row>
    <row r="11" spans="1:90" ht="12.75" customHeight="1" x14ac:dyDescent="0.2">
      <c r="A11" s="20"/>
      <c r="B11" s="5" t="s">
        <v>2</v>
      </c>
      <c r="C11" s="6"/>
      <c r="D11" s="35" t="s">
        <v>19</v>
      </c>
      <c r="E11" s="35" t="s">
        <v>20</v>
      </c>
      <c r="F11" s="36"/>
      <c r="G11" s="35" t="s">
        <v>19</v>
      </c>
      <c r="H11" s="35" t="s">
        <v>20</v>
      </c>
      <c r="I11" s="36"/>
      <c r="J11" s="35" t="s">
        <v>19</v>
      </c>
      <c r="K11" s="35" t="s">
        <v>20</v>
      </c>
      <c r="L11" s="36"/>
      <c r="M11" s="35" t="s">
        <v>19</v>
      </c>
      <c r="N11" s="35" t="s">
        <v>20</v>
      </c>
      <c r="O11" s="36"/>
      <c r="P11" s="35" t="s">
        <v>19</v>
      </c>
      <c r="Q11" s="35" t="s">
        <v>20</v>
      </c>
      <c r="R11" s="36"/>
      <c r="S11" s="35" t="s">
        <v>19</v>
      </c>
      <c r="T11" s="35" t="s">
        <v>20</v>
      </c>
      <c r="U11" s="29"/>
      <c r="V11" s="35" t="s">
        <v>19</v>
      </c>
      <c r="W11" s="35" t="s">
        <v>20</v>
      </c>
      <c r="X11" s="29"/>
      <c r="Y11" s="35" t="s">
        <v>19</v>
      </c>
      <c r="Z11" s="35" t="s">
        <v>20</v>
      </c>
      <c r="AA11" s="29"/>
      <c r="AB11" s="35" t="s">
        <v>19</v>
      </c>
      <c r="AC11" s="35" t="s">
        <v>20</v>
      </c>
      <c r="AD11" s="29"/>
      <c r="AE11" s="35" t="s">
        <v>19</v>
      </c>
      <c r="AF11" s="35" t="s">
        <v>20</v>
      </c>
      <c r="AG11" s="29"/>
      <c r="AH11" s="35" t="s">
        <v>19</v>
      </c>
      <c r="AI11" s="35" t="s">
        <v>20</v>
      </c>
      <c r="AJ11" s="29"/>
      <c r="AK11" s="35" t="s">
        <v>19</v>
      </c>
      <c r="AL11" s="35" t="s">
        <v>20</v>
      </c>
      <c r="AM11" s="29"/>
      <c r="AN11" s="35" t="s">
        <v>19</v>
      </c>
      <c r="AO11" s="35" t="s">
        <v>20</v>
      </c>
      <c r="AP11" s="29"/>
      <c r="AQ11" s="35" t="s">
        <v>19</v>
      </c>
      <c r="AR11" s="35" t="s">
        <v>20</v>
      </c>
      <c r="AS11" s="39"/>
      <c r="AT11" s="35" t="s">
        <v>19</v>
      </c>
      <c r="AU11" s="35" t="s">
        <v>20</v>
      </c>
      <c r="AV11" s="39"/>
      <c r="AW11" s="35" t="s">
        <v>19</v>
      </c>
      <c r="AX11" s="35" t="s">
        <v>20</v>
      </c>
      <c r="AY11" s="39"/>
      <c r="AZ11" s="35" t="s">
        <v>19</v>
      </c>
      <c r="BA11" s="35" t="s">
        <v>20</v>
      </c>
      <c r="BB11" s="39"/>
      <c r="BC11" s="35" t="s">
        <v>19</v>
      </c>
      <c r="BD11" s="35" t="s">
        <v>20</v>
      </c>
      <c r="BE11" s="39"/>
      <c r="BF11" s="35" t="s">
        <v>19</v>
      </c>
      <c r="BG11" s="35" t="s">
        <v>20</v>
      </c>
      <c r="BH11" s="39"/>
      <c r="BI11" s="35" t="s">
        <v>19</v>
      </c>
      <c r="BJ11" s="35" t="s">
        <v>20</v>
      </c>
      <c r="BK11" s="29"/>
      <c r="BL11" s="35" t="s">
        <v>19</v>
      </c>
      <c r="BM11" s="35" t="s">
        <v>20</v>
      </c>
      <c r="BN11" s="39"/>
      <c r="BO11" s="42" t="s">
        <v>19</v>
      </c>
      <c r="BP11" s="42" t="s">
        <v>20</v>
      </c>
      <c r="BQ11" s="47"/>
      <c r="BR11" s="42" t="s">
        <v>19</v>
      </c>
      <c r="BS11" s="42" t="s">
        <v>20</v>
      </c>
      <c r="BT11" s="47"/>
      <c r="BU11" s="42" t="s">
        <v>19</v>
      </c>
      <c r="BV11" s="42" t="s">
        <v>20</v>
      </c>
      <c r="BW11" s="29"/>
      <c r="BX11" s="42" t="s">
        <v>19</v>
      </c>
      <c r="BY11" s="42" t="s">
        <v>20</v>
      </c>
      <c r="BZ11" s="47"/>
      <c r="CA11" s="42" t="s">
        <v>19</v>
      </c>
      <c r="CB11" s="42" t="s">
        <v>20</v>
      </c>
      <c r="CC11" s="47"/>
      <c r="CD11" s="42" t="s">
        <v>19</v>
      </c>
      <c r="CE11" s="42" t="s">
        <v>20</v>
      </c>
      <c r="CF11" s="47"/>
      <c r="CG11" s="42" t="s">
        <v>19</v>
      </c>
      <c r="CH11" s="42" t="s">
        <v>20</v>
      </c>
      <c r="CI11" s="29"/>
      <c r="CJ11" s="42" t="s">
        <v>19</v>
      </c>
      <c r="CK11" s="42" t="s">
        <v>20</v>
      </c>
      <c r="CL11" s="22"/>
    </row>
    <row r="12" spans="1:90" ht="12.75" customHeight="1" x14ac:dyDescent="0.2">
      <c r="A12" s="20"/>
      <c r="B12" s="6"/>
      <c r="C12" s="6"/>
      <c r="D12" s="8"/>
      <c r="E12" s="8"/>
      <c r="F12" s="7"/>
      <c r="G12" s="8"/>
      <c r="H12" s="8"/>
      <c r="I12" s="7"/>
      <c r="J12" s="8"/>
      <c r="K12" s="8"/>
      <c r="L12" s="7"/>
      <c r="M12" s="8"/>
      <c r="N12" s="8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7"/>
      <c r="AF12" s="7"/>
      <c r="AG12" s="7"/>
      <c r="AH12" s="8"/>
      <c r="AI12" s="8"/>
      <c r="AJ12" s="8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W12" s="9"/>
      <c r="CI12" s="9"/>
      <c r="CL12" s="22"/>
    </row>
    <row r="13" spans="1:90" s="34" customFormat="1" ht="12.75" customHeight="1" x14ac:dyDescent="0.2">
      <c r="A13" s="30"/>
      <c r="B13" s="6" t="s">
        <v>3</v>
      </c>
      <c r="C13" s="6"/>
      <c r="D13" s="37">
        <v>84</v>
      </c>
      <c r="E13" s="37">
        <v>5</v>
      </c>
      <c r="F13" s="37"/>
      <c r="G13" s="37">
        <v>89</v>
      </c>
      <c r="H13" s="37">
        <v>5</v>
      </c>
      <c r="I13" s="37"/>
      <c r="J13" s="37">
        <v>92</v>
      </c>
      <c r="K13" s="37">
        <v>5</v>
      </c>
      <c r="L13" s="37"/>
      <c r="M13" s="37">
        <v>97</v>
      </c>
      <c r="N13" s="37">
        <v>5</v>
      </c>
      <c r="O13" s="37"/>
      <c r="P13" s="6">
        <v>113</v>
      </c>
      <c r="Q13" s="6">
        <v>3</v>
      </c>
      <c r="R13" s="6"/>
      <c r="S13" s="6">
        <v>110</v>
      </c>
      <c r="T13" s="6">
        <v>4</v>
      </c>
      <c r="U13" s="6"/>
      <c r="V13" s="6">
        <v>97</v>
      </c>
      <c r="W13" s="6">
        <v>7</v>
      </c>
      <c r="X13" s="6"/>
      <c r="Y13" s="6">
        <v>108</v>
      </c>
      <c r="Z13" s="6">
        <v>8</v>
      </c>
      <c r="AA13" s="6"/>
      <c r="AB13" s="6">
        <v>103</v>
      </c>
      <c r="AC13" s="6">
        <v>23</v>
      </c>
      <c r="AD13" s="6"/>
      <c r="AE13" s="37">
        <f>61+52</f>
        <v>113</v>
      </c>
      <c r="AF13" s="37">
        <v>2</v>
      </c>
      <c r="AG13" s="37"/>
      <c r="AH13" s="6">
        <v>118</v>
      </c>
      <c r="AI13" s="6">
        <v>3</v>
      </c>
      <c r="AJ13" s="6"/>
      <c r="AK13" s="37">
        <v>115</v>
      </c>
      <c r="AL13" s="37">
        <v>7</v>
      </c>
      <c r="AM13" s="37"/>
      <c r="AN13" s="37">
        <v>122</v>
      </c>
      <c r="AO13" s="37">
        <v>7</v>
      </c>
      <c r="AP13" s="37"/>
      <c r="AQ13" s="37">
        <v>129</v>
      </c>
      <c r="AR13" s="37">
        <v>8</v>
      </c>
      <c r="AS13" s="37"/>
      <c r="AT13" s="37">
        <f>79+66</f>
        <v>145</v>
      </c>
      <c r="AU13" s="37">
        <v>9</v>
      </c>
      <c r="AV13" s="37"/>
      <c r="AW13" s="37">
        <f>78+75</f>
        <v>153</v>
      </c>
      <c r="AX13" s="37">
        <f>2+5</f>
        <v>7</v>
      </c>
      <c r="AY13" s="37"/>
      <c r="AZ13" s="37">
        <f>74+74</f>
        <v>148</v>
      </c>
      <c r="BA13" s="37">
        <f>5+8</f>
        <v>13</v>
      </c>
      <c r="BB13" s="37"/>
      <c r="BC13" s="37">
        <f>79+76</f>
        <v>155</v>
      </c>
      <c r="BD13" s="37">
        <f>8+4</f>
        <v>12</v>
      </c>
      <c r="BE13" s="37"/>
      <c r="BF13" s="37">
        <f>77+81</f>
        <v>158</v>
      </c>
      <c r="BG13" s="37">
        <f>2+4</f>
        <v>6</v>
      </c>
      <c r="BH13" s="37"/>
      <c r="BI13" s="37">
        <f>81+85</f>
        <v>166</v>
      </c>
      <c r="BJ13" s="37">
        <f>4+8</f>
        <v>12</v>
      </c>
      <c r="BK13" s="37"/>
      <c r="BL13" s="37">
        <f>78+81</f>
        <v>159</v>
      </c>
      <c r="BM13" s="37">
        <f>5+7</f>
        <v>12</v>
      </c>
      <c r="BN13" s="37"/>
      <c r="BO13" s="43">
        <v>166</v>
      </c>
      <c r="BP13" s="43">
        <v>8</v>
      </c>
      <c r="BQ13" s="43"/>
      <c r="BR13" s="43">
        <v>144</v>
      </c>
      <c r="BS13" s="43">
        <v>6</v>
      </c>
      <c r="BT13" s="43"/>
      <c r="BU13" s="43">
        <v>157</v>
      </c>
      <c r="BV13" s="43">
        <v>7</v>
      </c>
      <c r="BW13" s="6"/>
      <c r="BX13" s="43">
        <v>151</v>
      </c>
      <c r="BY13" s="43">
        <v>7</v>
      </c>
      <c r="BZ13" s="43"/>
      <c r="CA13" s="43">
        <f>142+17</f>
        <v>159</v>
      </c>
      <c r="CB13" s="43">
        <v>7</v>
      </c>
      <c r="CC13" s="43"/>
      <c r="CD13" s="43">
        <v>170</v>
      </c>
      <c r="CE13" s="43">
        <v>9</v>
      </c>
      <c r="CF13" s="43"/>
      <c r="CG13" s="43">
        <v>177</v>
      </c>
      <c r="CH13" s="43">
        <v>7</v>
      </c>
      <c r="CI13" s="6"/>
      <c r="CJ13" s="43">
        <v>183</v>
      </c>
      <c r="CK13" s="43">
        <v>8</v>
      </c>
      <c r="CL13" s="33"/>
    </row>
    <row r="14" spans="1:90" ht="12.75" customHeight="1" x14ac:dyDescent="0.2">
      <c r="A14" s="20"/>
      <c r="B14" s="9"/>
      <c r="C14" s="9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21"/>
      <c r="AF14" s="21"/>
      <c r="AG14" s="21"/>
      <c r="AH14" s="9"/>
      <c r="AI14" s="9"/>
      <c r="AJ14" s="9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W14" s="9"/>
      <c r="CI14" s="9"/>
      <c r="CL14" s="22"/>
    </row>
    <row r="15" spans="1:90" ht="12.75" customHeight="1" x14ac:dyDescent="0.2">
      <c r="A15" s="20"/>
      <c r="B15" s="9"/>
      <c r="C15" s="9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21"/>
      <c r="AF15" s="21"/>
      <c r="AG15" s="21"/>
      <c r="AH15" s="9"/>
      <c r="AI15" s="9"/>
      <c r="AJ15" s="9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W15" s="9"/>
      <c r="CI15" s="9"/>
      <c r="CL15" s="22"/>
    </row>
    <row r="16" spans="1:90" ht="12.75" customHeight="1" x14ac:dyDescent="0.2">
      <c r="A16" s="20"/>
      <c r="B16" s="9" t="s">
        <v>4</v>
      </c>
      <c r="C16" s="9"/>
      <c r="D16" s="21">
        <v>211</v>
      </c>
      <c r="E16" s="21">
        <v>0</v>
      </c>
      <c r="F16" s="21"/>
      <c r="G16" s="21">
        <v>214</v>
      </c>
      <c r="H16" s="21">
        <v>0</v>
      </c>
      <c r="I16" s="21"/>
      <c r="J16" s="21">
        <v>220</v>
      </c>
      <c r="K16" s="21">
        <v>0</v>
      </c>
      <c r="L16" s="21"/>
      <c r="M16" s="21">
        <v>226</v>
      </c>
      <c r="N16" s="21">
        <v>0</v>
      </c>
      <c r="O16" s="21"/>
      <c r="P16" s="9">
        <v>222</v>
      </c>
      <c r="Q16" s="9">
        <v>1</v>
      </c>
      <c r="R16" s="9"/>
      <c r="S16" s="9">
        <v>224</v>
      </c>
      <c r="T16" s="9">
        <v>0</v>
      </c>
      <c r="U16" s="9"/>
      <c r="V16" s="9">
        <v>209</v>
      </c>
      <c r="W16" s="9">
        <v>0</v>
      </c>
      <c r="X16" s="9"/>
      <c r="Y16" s="9">
        <v>209</v>
      </c>
      <c r="Z16" s="9">
        <v>0</v>
      </c>
      <c r="AA16" s="9"/>
      <c r="AB16" s="9">
        <v>202</v>
      </c>
      <c r="AC16" s="9">
        <v>0</v>
      </c>
      <c r="AD16" s="9"/>
      <c r="AE16" s="21">
        <f>159+46</f>
        <v>205</v>
      </c>
      <c r="AF16" s="21">
        <v>0</v>
      </c>
      <c r="AG16" s="21"/>
      <c r="AH16" s="9">
        <v>214</v>
      </c>
      <c r="AI16" s="9">
        <v>0</v>
      </c>
      <c r="AJ16" s="9"/>
      <c r="AK16" s="21">
        <f>167+49</f>
        <v>216</v>
      </c>
      <c r="AL16" s="21">
        <v>0</v>
      </c>
      <c r="AM16" s="21"/>
      <c r="AN16" s="21">
        <f>176+58</f>
        <v>234</v>
      </c>
      <c r="AO16" s="21">
        <v>0</v>
      </c>
      <c r="AP16" s="21"/>
      <c r="AQ16" s="21">
        <f>176+66</f>
        <v>242</v>
      </c>
      <c r="AR16" s="21">
        <v>0</v>
      </c>
      <c r="AS16" s="21"/>
      <c r="AT16" s="21">
        <f>178+71</f>
        <v>249</v>
      </c>
      <c r="AU16" s="21">
        <v>0</v>
      </c>
      <c r="AV16" s="21"/>
      <c r="AW16" s="21">
        <f>180+73</f>
        <v>253</v>
      </c>
      <c r="AX16" s="21">
        <v>0</v>
      </c>
      <c r="AY16" s="21"/>
      <c r="AZ16" s="21">
        <f>169+66</f>
        <v>235</v>
      </c>
      <c r="BA16" s="21">
        <v>0</v>
      </c>
      <c r="BB16" s="21"/>
      <c r="BC16" s="21">
        <f>167+63</f>
        <v>230</v>
      </c>
      <c r="BD16" s="21">
        <v>0</v>
      </c>
      <c r="BE16" s="21"/>
      <c r="BF16" s="21">
        <f>158+62</f>
        <v>220</v>
      </c>
      <c r="BG16" s="21">
        <v>0</v>
      </c>
      <c r="BH16" s="21"/>
      <c r="BI16" s="21">
        <f>142+56</f>
        <v>198</v>
      </c>
      <c r="BJ16" s="21">
        <v>0</v>
      </c>
      <c r="BK16" s="21"/>
      <c r="BL16" s="21">
        <f>139+57</f>
        <v>196</v>
      </c>
      <c r="BM16" s="21">
        <v>0</v>
      </c>
      <c r="BN16" s="21"/>
      <c r="BO16" s="40">
        <v>217</v>
      </c>
      <c r="BP16" s="40">
        <v>0</v>
      </c>
      <c r="BR16" s="40">
        <v>235</v>
      </c>
      <c r="BS16" s="40">
        <v>0</v>
      </c>
      <c r="BU16" s="40">
        <v>237</v>
      </c>
      <c r="BV16" s="40">
        <v>0</v>
      </c>
      <c r="BW16" s="9"/>
      <c r="BX16" s="40">
        <v>234</v>
      </c>
      <c r="BY16" s="40">
        <v>2</v>
      </c>
      <c r="CA16" s="40">
        <v>226</v>
      </c>
      <c r="CB16" s="40">
        <v>2</v>
      </c>
      <c r="CD16" s="40">
        <v>236</v>
      </c>
      <c r="CE16" s="40">
        <v>1</v>
      </c>
      <c r="CG16" s="40">
        <v>236</v>
      </c>
      <c r="CH16" s="40">
        <v>5</v>
      </c>
      <c r="CI16" s="9"/>
      <c r="CJ16" s="40">
        <v>232</v>
      </c>
      <c r="CK16" s="48" t="s">
        <v>7</v>
      </c>
      <c r="CL16" s="22"/>
    </row>
    <row r="17" spans="1:90" ht="12.75" customHeight="1" x14ac:dyDescent="0.2">
      <c r="A17" s="20"/>
      <c r="B17" s="9" t="s">
        <v>5</v>
      </c>
      <c r="C17" s="9"/>
      <c r="D17" s="21">
        <v>81</v>
      </c>
      <c r="E17" s="21">
        <v>0</v>
      </c>
      <c r="F17" s="21"/>
      <c r="G17" s="21">
        <v>84</v>
      </c>
      <c r="H17" s="21">
        <v>0</v>
      </c>
      <c r="I17" s="21"/>
      <c r="J17" s="21">
        <v>76</v>
      </c>
      <c r="K17" s="21">
        <v>1</v>
      </c>
      <c r="L17" s="21"/>
      <c r="M17" s="21">
        <v>74</v>
      </c>
      <c r="N17" s="21">
        <v>0</v>
      </c>
      <c r="O17" s="21"/>
      <c r="P17" s="9">
        <v>76</v>
      </c>
      <c r="Q17" s="9">
        <v>0</v>
      </c>
      <c r="R17" s="9"/>
      <c r="S17" s="9">
        <v>81</v>
      </c>
      <c r="T17" s="9">
        <v>0</v>
      </c>
      <c r="U17" s="9"/>
      <c r="V17" s="9">
        <v>95</v>
      </c>
      <c r="W17" s="9">
        <v>0</v>
      </c>
      <c r="X17" s="9"/>
      <c r="Y17" s="9">
        <v>115</v>
      </c>
      <c r="Z17" s="9">
        <v>0</v>
      </c>
      <c r="AA17" s="9"/>
      <c r="AB17" s="9">
        <v>105</v>
      </c>
      <c r="AC17" s="9">
        <v>0</v>
      </c>
      <c r="AD17" s="9"/>
      <c r="AE17" s="21">
        <f>58+43</f>
        <v>101</v>
      </c>
      <c r="AF17" s="21">
        <v>0</v>
      </c>
      <c r="AG17" s="21"/>
      <c r="AH17" s="9">
        <v>103</v>
      </c>
      <c r="AI17" s="9">
        <v>0</v>
      </c>
      <c r="AJ17" s="9"/>
      <c r="AK17" s="21">
        <f>51+44</f>
        <v>95</v>
      </c>
      <c r="AL17" s="21">
        <v>0</v>
      </c>
      <c r="AM17" s="21"/>
      <c r="AN17" s="21">
        <f>44+42</f>
        <v>86</v>
      </c>
      <c r="AO17" s="21">
        <v>0</v>
      </c>
      <c r="AP17" s="21"/>
      <c r="AQ17" s="21">
        <f>39+34</f>
        <v>73</v>
      </c>
      <c r="AR17" s="21">
        <v>0</v>
      </c>
      <c r="AS17" s="21"/>
      <c r="AT17" s="21">
        <f>36+28</f>
        <v>64</v>
      </c>
      <c r="AU17" s="21">
        <v>0</v>
      </c>
      <c r="AV17" s="21"/>
      <c r="AW17" s="21">
        <f>31+33</f>
        <v>64</v>
      </c>
      <c r="AX17" s="21">
        <v>0</v>
      </c>
      <c r="AY17" s="21"/>
      <c r="AZ17" s="21">
        <f>35+32</f>
        <v>67</v>
      </c>
      <c r="BA17" s="21">
        <v>0</v>
      </c>
      <c r="BB17" s="21"/>
      <c r="BC17" s="21">
        <f>33+32</f>
        <v>65</v>
      </c>
      <c r="BD17" s="21">
        <v>0</v>
      </c>
      <c r="BE17" s="21"/>
      <c r="BF17" s="21">
        <f>34+33</f>
        <v>67</v>
      </c>
      <c r="BG17" s="21">
        <v>0</v>
      </c>
      <c r="BH17" s="21"/>
      <c r="BI17" s="21">
        <f>42+44</f>
        <v>86</v>
      </c>
      <c r="BJ17" s="21">
        <v>0</v>
      </c>
      <c r="BK17" s="21"/>
      <c r="BL17" s="21">
        <f>43+50</f>
        <v>93</v>
      </c>
      <c r="BM17" s="21">
        <v>0</v>
      </c>
      <c r="BN17" s="21"/>
      <c r="BO17" s="40">
        <v>84</v>
      </c>
      <c r="BP17" s="40">
        <v>3</v>
      </c>
      <c r="BR17" s="40">
        <v>91</v>
      </c>
      <c r="BS17" s="40">
        <v>1</v>
      </c>
      <c r="BU17" s="40">
        <v>92</v>
      </c>
      <c r="BV17" s="40">
        <v>0</v>
      </c>
      <c r="BW17" s="9"/>
      <c r="BX17" s="40">
        <v>92</v>
      </c>
      <c r="BY17" s="40">
        <v>0</v>
      </c>
      <c r="CA17" s="40">
        <v>93</v>
      </c>
      <c r="CB17" s="40">
        <v>2</v>
      </c>
      <c r="CD17" s="40">
        <v>79</v>
      </c>
      <c r="CE17" s="40">
        <v>1</v>
      </c>
      <c r="CG17" s="40">
        <v>63</v>
      </c>
      <c r="CH17" s="40">
        <v>2</v>
      </c>
      <c r="CI17" s="9"/>
      <c r="CJ17" s="40">
        <v>60</v>
      </c>
      <c r="CK17" s="48" t="s">
        <v>7</v>
      </c>
      <c r="CL17" s="22"/>
    </row>
    <row r="18" spans="1:90" ht="12.75" customHeight="1" x14ac:dyDescent="0.2">
      <c r="A18" s="20"/>
      <c r="B18" s="9" t="s">
        <v>6</v>
      </c>
      <c r="C18" s="9"/>
      <c r="D18" s="21">
        <v>116</v>
      </c>
      <c r="E18" s="21">
        <v>263</v>
      </c>
      <c r="F18" s="21"/>
      <c r="G18" s="21">
        <v>120</v>
      </c>
      <c r="H18" s="21">
        <v>282</v>
      </c>
      <c r="I18" s="21"/>
      <c r="J18" s="21">
        <v>114</v>
      </c>
      <c r="K18" s="21">
        <v>318</v>
      </c>
      <c r="L18" s="21"/>
      <c r="M18" s="21">
        <v>128</v>
      </c>
      <c r="N18" s="21">
        <v>313</v>
      </c>
      <c r="O18" s="21"/>
      <c r="P18" s="9">
        <v>122</v>
      </c>
      <c r="Q18" s="9">
        <v>296</v>
      </c>
      <c r="R18" s="9"/>
      <c r="S18" s="9">
        <v>135</v>
      </c>
      <c r="T18" s="9">
        <v>439</v>
      </c>
      <c r="U18" s="9"/>
      <c r="V18" s="9">
        <v>161</v>
      </c>
      <c r="W18" s="9">
        <v>497</v>
      </c>
      <c r="X18" s="9"/>
      <c r="Y18" s="9">
        <v>172</v>
      </c>
      <c r="Z18" s="9">
        <v>456</v>
      </c>
      <c r="AA18" s="9"/>
      <c r="AB18" s="9">
        <v>153</v>
      </c>
      <c r="AC18" s="9">
        <v>462</v>
      </c>
      <c r="AD18" s="9"/>
      <c r="AE18" s="21">
        <f>75+96</f>
        <v>171</v>
      </c>
      <c r="AF18" s="21">
        <f>220+252</f>
        <v>472</v>
      </c>
      <c r="AG18" s="21"/>
      <c r="AH18" s="9">
        <v>189</v>
      </c>
      <c r="AI18" s="9">
        <v>445</v>
      </c>
      <c r="AJ18" s="9"/>
      <c r="AK18" s="21">
        <f>62+123</f>
        <v>185</v>
      </c>
      <c r="AL18" s="21">
        <f>217+257</f>
        <v>474</v>
      </c>
      <c r="AM18" s="21"/>
      <c r="AN18" s="21">
        <f>64+128</f>
        <v>192</v>
      </c>
      <c r="AO18" s="21">
        <f>241+264</f>
        <v>505</v>
      </c>
      <c r="AP18" s="21"/>
      <c r="AQ18" s="21">
        <f>67+131</f>
        <v>198</v>
      </c>
      <c r="AR18" s="21">
        <f>241+286</f>
        <v>527</v>
      </c>
      <c r="AS18" s="21"/>
      <c r="AT18" s="21">
        <f>74+114</f>
        <v>188</v>
      </c>
      <c r="AU18" s="21">
        <f>255+279</f>
        <v>534</v>
      </c>
      <c r="AV18" s="21"/>
      <c r="AW18" s="21">
        <f>75+110</f>
        <v>185</v>
      </c>
      <c r="AX18" s="21">
        <f>221+243</f>
        <v>464</v>
      </c>
      <c r="AY18" s="21"/>
      <c r="AZ18" s="21">
        <f>82+121</f>
        <v>203</v>
      </c>
      <c r="BA18" s="21">
        <f>249+297</f>
        <v>546</v>
      </c>
      <c r="BB18" s="21"/>
      <c r="BC18" s="21">
        <f>80+121</f>
        <v>201</v>
      </c>
      <c r="BD18" s="21">
        <f>265+340</f>
        <v>605</v>
      </c>
      <c r="BE18" s="21"/>
      <c r="BF18" s="21">
        <f>88+120</f>
        <v>208</v>
      </c>
      <c r="BG18" s="21">
        <f>266+357</f>
        <v>623</v>
      </c>
      <c r="BH18" s="21"/>
      <c r="BI18" s="21">
        <f>81+133</f>
        <v>214</v>
      </c>
      <c r="BJ18" s="21">
        <f>220+326</f>
        <v>546</v>
      </c>
      <c r="BK18" s="21"/>
      <c r="BL18" s="21">
        <f>81+119</f>
        <v>200</v>
      </c>
      <c r="BM18" s="21">
        <f>256+368</f>
        <v>624</v>
      </c>
      <c r="BN18" s="21"/>
      <c r="BO18" s="40">
        <v>211</v>
      </c>
      <c r="BP18" s="40">
        <v>531</v>
      </c>
      <c r="BR18" s="40">
        <v>230</v>
      </c>
      <c r="BS18" s="40">
        <f>536+16+22+34</f>
        <v>608</v>
      </c>
      <c r="BU18" s="40">
        <v>237</v>
      </c>
      <c r="BV18" s="40">
        <v>549</v>
      </c>
      <c r="BW18" s="9"/>
      <c r="BX18" s="40">
        <v>232</v>
      </c>
      <c r="BY18" s="40">
        <v>504</v>
      </c>
      <c r="CA18" s="40">
        <v>220</v>
      </c>
      <c r="CB18" s="40">
        <v>541</v>
      </c>
      <c r="CD18" s="40">
        <v>237</v>
      </c>
      <c r="CE18" s="40">
        <v>553</v>
      </c>
      <c r="CG18" s="40">
        <v>234</v>
      </c>
      <c r="CH18" s="40">
        <v>529</v>
      </c>
      <c r="CI18" s="9"/>
      <c r="CJ18" s="40">
        <v>239</v>
      </c>
      <c r="CK18" s="40">
        <v>589</v>
      </c>
      <c r="CL18" s="22"/>
    </row>
    <row r="19" spans="1:90" ht="12.75" customHeight="1" x14ac:dyDescent="0.2">
      <c r="A19" s="20"/>
      <c r="B19" s="9" t="s">
        <v>15</v>
      </c>
      <c r="C19" s="9"/>
      <c r="D19" s="24" t="s">
        <v>7</v>
      </c>
      <c r="E19" s="24" t="s">
        <v>7</v>
      </c>
      <c r="F19" s="24"/>
      <c r="G19" s="24" t="s">
        <v>7</v>
      </c>
      <c r="H19" s="24" t="s">
        <v>7</v>
      </c>
      <c r="I19" s="24"/>
      <c r="J19" s="24" t="s">
        <v>7</v>
      </c>
      <c r="K19" s="24" t="s">
        <v>7</v>
      </c>
      <c r="L19" s="24"/>
      <c r="M19" s="24" t="s">
        <v>7</v>
      </c>
      <c r="N19" s="21">
        <v>137</v>
      </c>
      <c r="O19" s="21"/>
      <c r="P19" s="25" t="s">
        <v>7</v>
      </c>
      <c r="Q19" s="9">
        <v>159</v>
      </c>
      <c r="R19" s="9"/>
      <c r="S19" s="25" t="s">
        <v>7</v>
      </c>
      <c r="T19" s="9">
        <v>147</v>
      </c>
      <c r="U19" s="9"/>
      <c r="V19" s="25" t="s">
        <v>7</v>
      </c>
      <c r="W19" s="9">
        <v>155</v>
      </c>
      <c r="X19" s="9"/>
      <c r="Y19" s="25" t="s">
        <v>7</v>
      </c>
      <c r="Z19" s="9">
        <v>169</v>
      </c>
      <c r="AA19" s="9"/>
      <c r="AB19" s="25" t="s">
        <v>7</v>
      </c>
      <c r="AC19" s="9">
        <v>167</v>
      </c>
      <c r="AD19" s="9"/>
      <c r="AE19" s="24" t="s">
        <v>7</v>
      </c>
      <c r="AF19" s="21">
        <f>86+89</f>
        <v>175</v>
      </c>
      <c r="AG19" s="21"/>
      <c r="AH19" s="25" t="s">
        <v>7</v>
      </c>
      <c r="AI19" s="9">
        <v>186</v>
      </c>
      <c r="AJ19" s="9"/>
      <c r="AK19" s="24" t="s">
        <v>7</v>
      </c>
      <c r="AL19" s="21">
        <f>96+95</f>
        <v>191</v>
      </c>
      <c r="AM19" s="21"/>
      <c r="AN19" s="24" t="s">
        <v>7</v>
      </c>
      <c r="AO19" s="21">
        <f>84+83</f>
        <v>167</v>
      </c>
      <c r="AP19" s="21"/>
      <c r="AQ19" s="24" t="s">
        <v>7</v>
      </c>
      <c r="AR19" s="21">
        <f>86+89</f>
        <v>175</v>
      </c>
      <c r="AS19" s="21"/>
      <c r="AT19" s="24" t="s">
        <v>7</v>
      </c>
      <c r="AU19" s="21">
        <f>84+91</f>
        <v>175</v>
      </c>
      <c r="AV19" s="21"/>
      <c r="AW19" s="24" t="s">
        <v>7</v>
      </c>
      <c r="AX19" s="21">
        <f>88+120</f>
        <v>208</v>
      </c>
      <c r="AY19" s="21"/>
      <c r="AZ19" s="24" t="s">
        <v>7</v>
      </c>
      <c r="BA19" s="21">
        <f>106+144</f>
        <v>250</v>
      </c>
      <c r="BB19" s="21"/>
      <c r="BC19" s="24" t="s">
        <v>7</v>
      </c>
      <c r="BD19" s="21">
        <f>122+161</f>
        <v>283</v>
      </c>
      <c r="BE19" s="21"/>
      <c r="BF19" s="24" t="s">
        <v>7</v>
      </c>
      <c r="BG19" s="21">
        <f>133+161</f>
        <v>294</v>
      </c>
      <c r="BH19" s="21"/>
      <c r="BI19" s="24" t="s">
        <v>7</v>
      </c>
      <c r="BJ19" s="21">
        <f>108+174</f>
        <v>282</v>
      </c>
      <c r="BK19" s="21"/>
      <c r="BL19" s="24" t="s">
        <v>7</v>
      </c>
      <c r="BM19" s="21">
        <f>110+173</f>
        <v>283</v>
      </c>
      <c r="BN19" s="21"/>
      <c r="BO19" s="48" t="s">
        <v>7</v>
      </c>
      <c r="BP19" s="49">
        <v>295</v>
      </c>
      <c r="BQ19" s="49"/>
      <c r="BR19" s="48" t="s">
        <v>7</v>
      </c>
      <c r="BS19" s="49">
        <v>337</v>
      </c>
      <c r="BT19" s="49"/>
      <c r="BU19" s="48" t="s">
        <v>7</v>
      </c>
      <c r="BV19" s="49">
        <v>353</v>
      </c>
      <c r="BW19" s="8"/>
      <c r="BX19" s="48" t="s">
        <v>7</v>
      </c>
      <c r="BY19" s="49">
        <v>351</v>
      </c>
      <c r="BZ19" s="49"/>
      <c r="CA19" s="48" t="s">
        <v>7</v>
      </c>
      <c r="CB19" s="49">
        <v>363</v>
      </c>
      <c r="CC19" s="49"/>
      <c r="CD19" s="48" t="s">
        <v>7</v>
      </c>
      <c r="CE19" s="40">
        <v>404</v>
      </c>
      <c r="CG19" s="48" t="s">
        <v>7</v>
      </c>
      <c r="CH19" s="40">
        <v>401</v>
      </c>
      <c r="CI19" s="8"/>
      <c r="CJ19" s="48" t="s">
        <v>7</v>
      </c>
      <c r="CK19" s="53">
        <v>387</v>
      </c>
      <c r="CL19" s="22"/>
    </row>
    <row r="20" spans="1:90" s="34" customFormat="1" ht="12.75" customHeight="1" x14ac:dyDescent="0.2">
      <c r="A20" s="30"/>
      <c r="B20" s="6" t="s">
        <v>8</v>
      </c>
      <c r="C20" s="6"/>
      <c r="D20" s="37">
        <f>D16+D17+D18</f>
        <v>408</v>
      </c>
      <c r="E20" s="37">
        <f t="shared" ref="E20:N20" si="0">SUM(E16:E19)</f>
        <v>263</v>
      </c>
      <c r="F20" s="37"/>
      <c r="G20" s="37">
        <f t="shared" si="0"/>
        <v>418</v>
      </c>
      <c r="H20" s="37">
        <f t="shared" si="0"/>
        <v>282</v>
      </c>
      <c r="I20" s="37"/>
      <c r="J20" s="37">
        <f t="shared" si="0"/>
        <v>410</v>
      </c>
      <c r="K20" s="37">
        <f t="shared" si="0"/>
        <v>319</v>
      </c>
      <c r="L20" s="37"/>
      <c r="M20" s="37">
        <f t="shared" si="0"/>
        <v>428</v>
      </c>
      <c r="N20" s="37">
        <f t="shared" si="0"/>
        <v>450</v>
      </c>
      <c r="O20" s="37"/>
      <c r="P20" s="6">
        <f>P16+P17+P18</f>
        <v>420</v>
      </c>
      <c r="Q20" s="6">
        <f t="shared" ref="Q20:AI20" si="1">SUM(Q16:Q19)</f>
        <v>456</v>
      </c>
      <c r="R20" s="6"/>
      <c r="S20" s="6">
        <f t="shared" si="1"/>
        <v>440</v>
      </c>
      <c r="T20" s="6">
        <f t="shared" si="1"/>
        <v>586</v>
      </c>
      <c r="U20" s="6"/>
      <c r="V20" s="6">
        <f t="shared" si="1"/>
        <v>465</v>
      </c>
      <c r="W20" s="6">
        <f t="shared" si="1"/>
        <v>652</v>
      </c>
      <c r="X20" s="6"/>
      <c r="Y20" s="6">
        <f t="shared" si="1"/>
        <v>496</v>
      </c>
      <c r="Z20" s="6">
        <f t="shared" si="1"/>
        <v>625</v>
      </c>
      <c r="AA20" s="6"/>
      <c r="AB20" s="6">
        <f t="shared" si="1"/>
        <v>460</v>
      </c>
      <c r="AC20" s="6">
        <f t="shared" si="1"/>
        <v>629</v>
      </c>
      <c r="AD20" s="6"/>
      <c r="AE20" s="37">
        <f t="shared" si="1"/>
        <v>477</v>
      </c>
      <c r="AF20" s="37">
        <f t="shared" si="1"/>
        <v>647</v>
      </c>
      <c r="AG20" s="37"/>
      <c r="AH20" s="6">
        <f t="shared" si="1"/>
        <v>506</v>
      </c>
      <c r="AI20" s="6">
        <f t="shared" si="1"/>
        <v>631</v>
      </c>
      <c r="AJ20" s="6"/>
      <c r="AK20" s="37">
        <f>SUM(AK16:AK19)</f>
        <v>496</v>
      </c>
      <c r="AL20" s="37">
        <f>SUM(AL16:AL19)</f>
        <v>665</v>
      </c>
      <c r="AM20" s="37"/>
      <c r="AN20" s="37">
        <f>SUM(AN16:AN19)</f>
        <v>512</v>
      </c>
      <c r="AO20" s="37">
        <f>SUM(AO16:AO19)</f>
        <v>672</v>
      </c>
      <c r="AP20" s="37"/>
      <c r="AQ20" s="37">
        <f>SUM(AQ16:AQ19)</f>
        <v>513</v>
      </c>
      <c r="AR20" s="37">
        <f>SUM(AR16:AR19)</f>
        <v>702</v>
      </c>
      <c r="AS20" s="37"/>
      <c r="AT20" s="37">
        <f>SUM(AT16:AT19)</f>
        <v>501</v>
      </c>
      <c r="AU20" s="37">
        <f>SUM(AU16:AU19)</f>
        <v>709</v>
      </c>
      <c r="AV20" s="37"/>
      <c r="AW20" s="37">
        <f>SUM(AW16:AW19)</f>
        <v>502</v>
      </c>
      <c r="AX20" s="37">
        <f>SUM(AX16:AX19)</f>
        <v>672</v>
      </c>
      <c r="AY20" s="37"/>
      <c r="AZ20" s="37">
        <f>SUM(AZ16:AZ19)</f>
        <v>505</v>
      </c>
      <c r="BA20" s="37">
        <f>SUM(BA16:BA19)</f>
        <v>796</v>
      </c>
      <c r="BB20" s="37"/>
      <c r="BC20" s="37">
        <f>SUM(BC16:BC19)</f>
        <v>496</v>
      </c>
      <c r="BD20" s="37">
        <f>SUM(BD16:BD19)</f>
        <v>888</v>
      </c>
      <c r="BE20" s="37"/>
      <c r="BF20" s="37">
        <f>SUM(BF16:BF19)</f>
        <v>495</v>
      </c>
      <c r="BG20" s="37">
        <f>SUM(BG16:BG19)</f>
        <v>917</v>
      </c>
      <c r="BH20" s="37"/>
      <c r="BI20" s="37">
        <f>SUM(BI16:BI19)</f>
        <v>498</v>
      </c>
      <c r="BJ20" s="37">
        <f>SUM(BJ16:BJ19)</f>
        <v>828</v>
      </c>
      <c r="BK20" s="37"/>
      <c r="BL20" s="37">
        <f>SUM(BL16:BL19)</f>
        <v>489</v>
      </c>
      <c r="BM20" s="37">
        <f>SUM(BM16:BM19)</f>
        <v>907</v>
      </c>
      <c r="BN20" s="37"/>
      <c r="BO20" s="43">
        <f>SUM(BO16:BO18)</f>
        <v>512</v>
      </c>
      <c r="BP20" s="43">
        <f>SUM(BP16:BP19)</f>
        <v>829</v>
      </c>
      <c r="BQ20" s="43"/>
      <c r="BR20" s="43">
        <f>SUM(BR16:BR18)</f>
        <v>556</v>
      </c>
      <c r="BS20" s="43">
        <f>SUM(BS16:BS19)</f>
        <v>946</v>
      </c>
      <c r="BT20" s="43"/>
      <c r="BU20" s="43">
        <f>SUM(BU16:BU18)</f>
        <v>566</v>
      </c>
      <c r="BV20" s="43">
        <f>SUM(BV16:BV19)</f>
        <v>902</v>
      </c>
      <c r="BW20" s="6"/>
      <c r="BX20" s="43">
        <f>SUM(BX16:BX18)</f>
        <v>558</v>
      </c>
      <c r="BY20" s="43">
        <f>SUM(BY16:BY19)</f>
        <v>857</v>
      </c>
      <c r="BZ20" s="43"/>
      <c r="CA20" s="43">
        <f>SUM(CA16:CA18)</f>
        <v>539</v>
      </c>
      <c r="CB20" s="43">
        <f>SUM(CB16:CB19)</f>
        <v>908</v>
      </c>
      <c r="CC20" s="43"/>
      <c r="CD20" s="43">
        <f>SUM(CD16:CD18)</f>
        <v>552</v>
      </c>
      <c r="CE20" s="43">
        <f>SUM(CE16:CE19)</f>
        <v>959</v>
      </c>
      <c r="CF20" s="43"/>
      <c r="CG20" s="43">
        <f>SUM(CG16:CG18)</f>
        <v>533</v>
      </c>
      <c r="CH20" s="43">
        <f>SUM(CH16:CH19)</f>
        <v>937</v>
      </c>
      <c r="CI20" s="6"/>
      <c r="CJ20" s="43">
        <f>SUM(CJ16:CJ18)</f>
        <v>531</v>
      </c>
      <c r="CK20" s="43">
        <f>SUM(CK16:CK19)</f>
        <v>976</v>
      </c>
      <c r="CL20" s="33"/>
    </row>
    <row r="21" spans="1:90" ht="12.75" customHeight="1" x14ac:dyDescent="0.2">
      <c r="A21" s="20"/>
      <c r="B21" s="6"/>
      <c r="C21" s="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21"/>
      <c r="AF21" s="21"/>
      <c r="AG21" s="21"/>
      <c r="AH21" s="9"/>
      <c r="AI21" s="9"/>
      <c r="AJ21" s="9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W21" s="9"/>
      <c r="CI21" s="9"/>
      <c r="CL21" s="22"/>
    </row>
    <row r="22" spans="1:90" ht="12.75" customHeight="1" x14ac:dyDescent="0.2">
      <c r="A22" s="20"/>
      <c r="B22" s="9"/>
      <c r="C22" s="9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21"/>
      <c r="AF22" s="21"/>
      <c r="AG22" s="21"/>
      <c r="AH22" s="9"/>
      <c r="AI22" s="9"/>
      <c r="AJ22" s="9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W22" s="9"/>
      <c r="CI22" s="9"/>
      <c r="CL22" s="22"/>
    </row>
    <row r="23" spans="1:90" ht="12.75" customHeight="1" x14ac:dyDescent="0.2">
      <c r="A23" s="20"/>
      <c r="B23" s="9" t="s">
        <v>9</v>
      </c>
      <c r="C23" s="9"/>
      <c r="D23" s="21">
        <v>82</v>
      </c>
      <c r="E23" s="21">
        <v>13</v>
      </c>
      <c r="F23" s="21"/>
      <c r="G23" s="21">
        <v>93</v>
      </c>
      <c r="H23" s="21">
        <v>18</v>
      </c>
      <c r="I23" s="21"/>
      <c r="J23" s="21">
        <v>88</v>
      </c>
      <c r="K23" s="21">
        <v>21</v>
      </c>
      <c r="L23" s="21"/>
      <c r="M23" s="21">
        <v>107</v>
      </c>
      <c r="N23" s="21">
        <v>25</v>
      </c>
      <c r="O23" s="21"/>
      <c r="P23" s="9">
        <v>118</v>
      </c>
      <c r="Q23" s="9">
        <v>29</v>
      </c>
      <c r="R23" s="9"/>
      <c r="S23" s="9">
        <v>127</v>
      </c>
      <c r="T23" s="9">
        <v>33</v>
      </c>
      <c r="U23" s="9"/>
      <c r="V23" s="9">
        <v>151</v>
      </c>
      <c r="W23" s="9">
        <v>69</v>
      </c>
      <c r="X23" s="9"/>
      <c r="Y23" s="9">
        <v>156</v>
      </c>
      <c r="Z23" s="9">
        <v>93</v>
      </c>
      <c r="AA23" s="9"/>
      <c r="AB23" s="9">
        <v>154</v>
      </c>
      <c r="AC23" s="9">
        <v>79</v>
      </c>
      <c r="AD23" s="9"/>
      <c r="AE23" s="21">
        <f>45+115</f>
        <v>160</v>
      </c>
      <c r="AF23" s="21">
        <v>92</v>
      </c>
      <c r="AG23" s="21"/>
      <c r="AH23" s="9">
        <v>164</v>
      </c>
      <c r="AI23" s="9">
        <v>45</v>
      </c>
      <c r="AJ23" s="9"/>
      <c r="AK23" s="21">
        <v>183</v>
      </c>
      <c r="AL23" s="21">
        <v>38</v>
      </c>
      <c r="AM23" s="21"/>
      <c r="AN23" s="21">
        <v>217</v>
      </c>
      <c r="AO23" s="21">
        <f>24+18</f>
        <v>42</v>
      </c>
      <c r="AP23" s="21"/>
      <c r="AQ23" s="21">
        <v>243</v>
      </c>
      <c r="AR23" s="21">
        <v>49</v>
      </c>
      <c r="AS23" s="21"/>
      <c r="AT23" s="21">
        <f>85+151</f>
        <v>236</v>
      </c>
      <c r="AU23" s="21">
        <v>49</v>
      </c>
      <c r="AV23" s="21"/>
      <c r="AW23" s="21">
        <f>90+156</f>
        <v>246</v>
      </c>
      <c r="AX23" s="21">
        <f>22+23</f>
        <v>45</v>
      </c>
      <c r="AY23" s="21"/>
      <c r="AZ23" s="21">
        <f>79+166</f>
        <v>245</v>
      </c>
      <c r="BA23" s="21">
        <f>36+26</f>
        <v>62</v>
      </c>
      <c r="BB23" s="21"/>
      <c r="BC23" s="21">
        <f>107+176</f>
        <v>283</v>
      </c>
      <c r="BD23" s="21">
        <f>25+30</f>
        <v>55</v>
      </c>
      <c r="BE23" s="21"/>
      <c r="BF23" s="21">
        <f>115+188</f>
        <v>303</v>
      </c>
      <c r="BG23" s="21">
        <f>25+36</f>
        <v>61</v>
      </c>
      <c r="BH23" s="21"/>
      <c r="BI23" s="21">
        <f>122+190</f>
        <v>312</v>
      </c>
      <c r="BJ23" s="21">
        <f>24+36</f>
        <v>60</v>
      </c>
      <c r="BK23" s="21"/>
      <c r="BL23" s="21">
        <f>105+157</f>
        <v>262</v>
      </c>
      <c r="BM23" s="21">
        <f>29+26</f>
        <v>55</v>
      </c>
      <c r="BN23" s="21"/>
      <c r="BO23" s="40">
        <v>257</v>
      </c>
      <c r="BP23" s="40">
        <v>59</v>
      </c>
      <c r="BR23" s="40">
        <v>286</v>
      </c>
      <c r="BS23" s="40">
        <v>57</v>
      </c>
      <c r="BU23" s="40">
        <v>301</v>
      </c>
      <c r="BV23" s="40">
        <v>65</v>
      </c>
      <c r="BW23" s="9"/>
      <c r="BX23" s="40">
        <v>319</v>
      </c>
      <c r="BY23" s="40">
        <v>50</v>
      </c>
      <c r="CA23" s="40">
        <v>297</v>
      </c>
      <c r="CB23" s="40">
        <v>46</v>
      </c>
      <c r="CD23" s="40">
        <v>340</v>
      </c>
      <c r="CE23" s="40">
        <v>41</v>
      </c>
      <c r="CG23" s="40">
        <v>336</v>
      </c>
      <c r="CH23" s="40">
        <v>54</v>
      </c>
      <c r="CI23" s="9"/>
      <c r="CJ23" s="40">
        <v>354</v>
      </c>
      <c r="CK23" s="40">
        <v>78</v>
      </c>
      <c r="CL23" s="22"/>
    </row>
    <row r="24" spans="1:90" ht="12.75" customHeight="1" x14ac:dyDescent="0.2">
      <c r="A24" s="20"/>
      <c r="B24" s="9" t="s">
        <v>10</v>
      </c>
      <c r="C24" s="9"/>
      <c r="D24" s="21">
        <v>211</v>
      </c>
      <c r="E24" s="21">
        <v>152</v>
      </c>
      <c r="F24" s="21"/>
      <c r="G24" s="21">
        <v>217</v>
      </c>
      <c r="H24" s="21">
        <v>176</v>
      </c>
      <c r="I24" s="21"/>
      <c r="J24" s="21">
        <v>220</v>
      </c>
      <c r="K24" s="21">
        <v>168</v>
      </c>
      <c r="L24" s="21"/>
      <c r="M24" s="21">
        <v>214</v>
      </c>
      <c r="N24" s="21">
        <v>157</v>
      </c>
      <c r="O24" s="21"/>
      <c r="P24" s="9">
        <v>230</v>
      </c>
      <c r="Q24" s="9">
        <v>156</v>
      </c>
      <c r="R24" s="9"/>
      <c r="S24" s="9">
        <v>236</v>
      </c>
      <c r="T24" s="9">
        <v>122</v>
      </c>
      <c r="U24" s="9"/>
      <c r="V24" s="9">
        <v>235</v>
      </c>
      <c r="W24" s="9">
        <v>132</v>
      </c>
      <c r="X24" s="9"/>
      <c r="Y24" s="9">
        <v>228</v>
      </c>
      <c r="Z24" s="9">
        <v>121</v>
      </c>
      <c r="AA24" s="9"/>
      <c r="AB24" s="9">
        <v>205</v>
      </c>
      <c r="AC24" s="9">
        <v>160</v>
      </c>
      <c r="AD24" s="9"/>
      <c r="AE24" s="21">
        <f>7+195</f>
        <v>202</v>
      </c>
      <c r="AF24" s="21">
        <v>133</v>
      </c>
      <c r="AG24" s="21"/>
      <c r="AH24" s="9">
        <v>209</v>
      </c>
      <c r="AI24" s="9">
        <v>104</v>
      </c>
      <c r="AJ24" s="9"/>
      <c r="AK24" s="21">
        <v>223</v>
      </c>
      <c r="AL24" s="21">
        <f>19+94</f>
        <v>113</v>
      </c>
      <c r="AM24" s="21"/>
      <c r="AN24" s="21">
        <v>233</v>
      </c>
      <c r="AO24" s="21">
        <v>123</v>
      </c>
      <c r="AP24" s="21"/>
      <c r="AQ24" s="21">
        <v>222</v>
      </c>
      <c r="AR24" s="21">
        <v>123</v>
      </c>
      <c r="AS24" s="21"/>
      <c r="AT24" s="21">
        <v>232</v>
      </c>
      <c r="AU24" s="21">
        <v>137</v>
      </c>
      <c r="AV24" s="21"/>
      <c r="AW24" s="21">
        <f>19+208</f>
        <v>227</v>
      </c>
      <c r="AX24" s="21">
        <f>19+128</f>
        <v>147</v>
      </c>
      <c r="AY24" s="21"/>
      <c r="AZ24" s="21">
        <f>12+200</f>
        <v>212</v>
      </c>
      <c r="BA24" s="21">
        <f>18+97</f>
        <v>115</v>
      </c>
      <c r="BB24" s="21"/>
      <c r="BC24" s="21">
        <f>11+189</f>
        <v>200</v>
      </c>
      <c r="BD24" s="21">
        <f>7+75</f>
        <v>82</v>
      </c>
      <c r="BE24" s="21"/>
      <c r="BF24" s="21">
        <f>13+183</f>
        <v>196</v>
      </c>
      <c r="BG24" s="21">
        <f>10+70</f>
        <v>80</v>
      </c>
      <c r="BH24" s="21"/>
      <c r="BI24" s="21">
        <f>12+183</f>
        <v>195</v>
      </c>
      <c r="BJ24" s="21">
        <f>11+81</f>
        <v>92</v>
      </c>
      <c r="BK24" s="21"/>
      <c r="BL24" s="21">
        <f>16+219</f>
        <v>235</v>
      </c>
      <c r="BM24" s="21">
        <f>6+72</f>
        <v>78</v>
      </c>
      <c r="BN24" s="21"/>
      <c r="BO24" s="40">
        <v>245</v>
      </c>
      <c r="BP24" s="40">
        <v>82</v>
      </c>
      <c r="BR24" s="40">
        <v>243</v>
      </c>
      <c r="BS24" s="40">
        <v>56</v>
      </c>
      <c r="BU24" s="40">
        <v>238</v>
      </c>
      <c r="BV24" s="40">
        <v>56</v>
      </c>
      <c r="BW24" s="9"/>
      <c r="BX24" s="40">
        <v>241</v>
      </c>
      <c r="BY24" s="40">
        <v>49</v>
      </c>
      <c r="CA24" s="40">
        <v>225</v>
      </c>
      <c r="CB24" s="40">
        <v>37</v>
      </c>
      <c r="CD24" s="40">
        <v>223</v>
      </c>
      <c r="CE24" s="40">
        <v>43</v>
      </c>
      <c r="CG24" s="40">
        <v>214</v>
      </c>
      <c r="CH24" s="40">
        <v>43</v>
      </c>
      <c r="CI24" s="9"/>
      <c r="CJ24" s="40">
        <v>210</v>
      </c>
      <c r="CK24" s="40">
        <v>45</v>
      </c>
      <c r="CL24" s="22"/>
    </row>
    <row r="25" spans="1:90" ht="12.75" customHeight="1" x14ac:dyDescent="0.2">
      <c r="A25" s="20"/>
      <c r="B25" s="9" t="s">
        <v>11</v>
      </c>
      <c r="C25" s="9"/>
      <c r="D25" s="21">
        <v>40</v>
      </c>
      <c r="E25" s="21">
        <v>14</v>
      </c>
      <c r="F25" s="21"/>
      <c r="G25" s="21">
        <v>40</v>
      </c>
      <c r="H25" s="21">
        <v>20</v>
      </c>
      <c r="I25" s="21"/>
      <c r="J25" s="21">
        <v>43</v>
      </c>
      <c r="K25" s="21">
        <v>21</v>
      </c>
      <c r="L25" s="21"/>
      <c r="M25" s="21">
        <v>38</v>
      </c>
      <c r="N25" s="21">
        <v>17</v>
      </c>
      <c r="O25" s="21"/>
      <c r="P25" s="9">
        <v>38</v>
      </c>
      <c r="Q25" s="9">
        <v>17</v>
      </c>
      <c r="R25" s="9"/>
      <c r="S25" s="9">
        <v>41</v>
      </c>
      <c r="T25" s="9">
        <v>19</v>
      </c>
      <c r="U25" s="9"/>
      <c r="V25" s="9">
        <v>43</v>
      </c>
      <c r="W25" s="9">
        <v>21</v>
      </c>
      <c r="X25" s="9"/>
      <c r="Y25" s="9">
        <v>48</v>
      </c>
      <c r="Z25" s="9">
        <v>23</v>
      </c>
      <c r="AA25" s="9"/>
      <c r="AB25" s="9">
        <v>45</v>
      </c>
      <c r="AC25" s="9">
        <v>23</v>
      </c>
      <c r="AD25" s="9"/>
      <c r="AE25" s="21">
        <f>27+17</f>
        <v>44</v>
      </c>
      <c r="AF25" s="21">
        <v>18</v>
      </c>
      <c r="AG25" s="21"/>
      <c r="AH25" s="9">
        <v>48</v>
      </c>
      <c r="AI25" s="9">
        <v>23</v>
      </c>
      <c r="AJ25" s="9"/>
      <c r="AK25" s="21">
        <v>47</v>
      </c>
      <c r="AL25" s="21">
        <v>31</v>
      </c>
      <c r="AM25" s="21"/>
      <c r="AN25" s="21">
        <v>41</v>
      </c>
      <c r="AO25" s="21">
        <v>33</v>
      </c>
      <c r="AP25" s="21"/>
      <c r="AQ25" s="21">
        <v>42</v>
      </c>
      <c r="AR25" s="21">
        <v>40</v>
      </c>
      <c r="AS25" s="21"/>
      <c r="AT25" s="21">
        <f>26+16</f>
        <v>42</v>
      </c>
      <c r="AU25" s="21">
        <v>52</v>
      </c>
      <c r="AV25" s="21"/>
      <c r="AW25" s="21">
        <f>26+17</f>
        <v>43</v>
      </c>
      <c r="AX25" s="21">
        <f>27+27</f>
        <v>54</v>
      </c>
      <c r="AY25" s="21"/>
      <c r="AZ25" s="21">
        <f>28+17</f>
        <v>45</v>
      </c>
      <c r="BA25" s="21">
        <f>29+31</f>
        <v>60</v>
      </c>
      <c r="BB25" s="21"/>
      <c r="BC25" s="21">
        <f>31+22</f>
        <v>53</v>
      </c>
      <c r="BD25" s="21">
        <f>28+20</f>
        <v>48</v>
      </c>
      <c r="BE25" s="21"/>
      <c r="BF25" s="21">
        <f>30+23</f>
        <v>53</v>
      </c>
      <c r="BG25" s="21">
        <f>29+23</f>
        <v>52</v>
      </c>
      <c r="BH25" s="21"/>
      <c r="BI25" s="21">
        <f>26+22</f>
        <v>48</v>
      </c>
      <c r="BJ25" s="21">
        <f>21+14</f>
        <v>35</v>
      </c>
      <c r="BK25" s="21"/>
      <c r="BL25" s="21">
        <f>39+21</f>
        <v>60</v>
      </c>
      <c r="BM25" s="21">
        <f>20+12</f>
        <v>32</v>
      </c>
      <c r="BN25" s="21"/>
      <c r="BO25" s="40">
        <v>60</v>
      </c>
      <c r="BP25" s="40">
        <v>35</v>
      </c>
      <c r="BR25" s="40">
        <v>56</v>
      </c>
      <c r="BS25" s="40">
        <v>31</v>
      </c>
      <c r="BU25" s="40">
        <v>52</v>
      </c>
      <c r="BV25" s="40">
        <v>25</v>
      </c>
      <c r="BW25" s="9"/>
      <c r="BX25" s="40">
        <v>54</v>
      </c>
      <c r="BY25" s="40">
        <v>32</v>
      </c>
      <c r="CA25" s="40">
        <v>58</v>
      </c>
      <c r="CB25" s="40">
        <v>23</v>
      </c>
      <c r="CD25" s="40">
        <v>55</v>
      </c>
      <c r="CE25" s="40">
        <v>32</v>
      </c>
      <c r="CG25" s="40">
        <v>46</v>
      </c>
      <c r="CH25" s="40">
        <v>32</v>
      </c>
      <c r="CI25" s="9"/>
      <c r="CJ25" s="40">
        <v>45</v>
      </c>
      <c r="CK25" s="40">
        <v>29</v>
      </c>
      <c r="CL25" s="22"/>
    </row>
    <row r="26" spans="1:90" ht="12.75" customHeight="1" x14ac:dyDescent="0.2">
      <c r="A26" s="20"/>
      <c r="B26" s="9" t="s">
        <v>12</v>
      </c>
      <c r="C26" s="9"/>
      <c r="D26" s="21">
        <v>48</v>
      </c>
      <c r="E26" s="21">
        <v>3</v>
      </c>
      <c r="F26" s="21"/>
      <c r="G26" s="21">
        <v>48</v>
      </c>
      <c r="H26" s="21">
        <v>4</v>
      </c>
      <c r="I26" s="21"/>
      <c r="J26" s="21">
        <v>51</v>
      </c>
      <c r="K26" s="21">
        <v>1</v>
      </c>
      <c r="L26" s="21"/>
      <c r="M26" s="21">
        <v>46</v>
      </c>
      <c r="N26" s="21">
        <v>4</v>
      </c>
      <c r="O26" s="21"/>
      <c r="P26" s="9">
        <v>45</v>
      </c>
      <c r="Q26" s="9">
        <v>4</v>
      </c>
      <c r="R26" s="9"/>
      <c r="S26" s="9">
        <v>39</v>
      </c>
      <c r="T26" s="9">
        <v>4</v>
      </c>
      <c r="U26" s="9"/>
      <c r="V26" s="9">
        <v>40</v>
      </c>
      <c r="W26" s="9">
        <v>6</v>
      </c>
      <c r="X26" s="9"/>
      <c r="Y26" s="9">
        <v>52</v>
      </c>
      <c r="Z26" s="9">
        <v>5</v>
      </c>
      <c r="AA26" s="9"/>
      <c r="AB26" s="9">
        <v>47</v>
      </c>
      <c r="AC26" s="9">
        <v>4</v>
      </c>
      <c r="AD26" s="9"/>
      <c r="AE26" s="21">
        <v>42</v>
      </c>
      <c r="AF26" s="21">
        <v>3</v>
      </c>
      <c r="AG26" s="21"/>
      <c r="AH26" s="9">
        <v>42</v>
      </c>
      <c r="AI26" s="9">
        <v>4</v>
      </c>
      <c r="AJ26" s="9"/>
      <c r="AK26" s="21">
        <v>40</v>
      </c>
      <c r="AL26" s="21">
        <v>4</v>
      </c>
      <c r="AM26" s="21"/>
      <c r="AN26" s="21">
        <v>46</v>
      </c>
      <c r="AO26" s="21">
        <v>0</v>
      </c>
      <c r="AP26" s="21"/>
      <c r="AQ26" s="21">
        <v>52</v>
      </c>
      <c r="AR26" s="21">
        <v>0</v>
      </c>
      <c r="AS26" s="21"/>
      <c r="AT26" s="21">
        <v>52</v>
      </c>
      <c r="AU26" s="21">
        <v>0</v>
      </c>
      <c r="AV26" s="21"/>
      <c r="AW26" s="21">
        <f>43+4</f>
        <v>47</v>
      </c>
      <c r="AX26" s="21">
        <v>0</v>
      </c>
      <c r="AY26" s="21"/>
      <c r="AZ26" s="21">
        <f>44+4</f>
        <v>48</v>
      </c>
      <c r="BA26" s="21">
        <v>1</v>
      </c>
      <c r="BB26" s="21"/>
      <c r="BC26" s="21">
        <f>47+2</f>
        <v>49</v>
      </c>
      <c r="BD26" s="21">
        <v>1</v>
      </c>
      <c r="BE26" s="21"/>
      <c r="BF26" s="21">
        <f>46+0</f>
        <v>46</v>
      </c>
      <c r="BG26" s="21">
        <f>2+1</f>
        <v>3</v>
      </c>
      <c r="BH26" s="21"/>
      <c r="BI26" s="21">
        <f>49+0</f>
        <v>49</v>
      </c>
      <c r="BJ26" s="21">
        <f>1+1</f>
        <v>2</v>
      </c>
      <c r="BK26" s="21"/>
      <c r="BL26" s="21">
        <f>52+1</f>
        <v>53</v>
      </c>
      <c r="BM26" s="21">
        <f>0+0</f>
        <v>0</v>
      </c>
      <c r="BN26" s="21"/>
      <c r="BO26" s="40">
        <v>52</v>
      </c>
      <c r="BP26" s="40">
        <v>0</v>
      </c>
      <c r="BR26" s="40">
        <v>51</v>
      </c>
      <c r="BS26" s="40">
        <v>0</v>
      </c>
      <c r="BU26" s="40">
        <v>61</v>
      </c>
      <c r="BV26" s="40">
        <v>2</v>
      </c>
      <c r="BW26" s="9"/>
      <c r="BX26" s="40">
        <v>51</v>
      </c>
      <c r="BY26" s="40">
        <v>13</v>
      </c>
      <c r="CA26" s="40">
        <v>47</v>
      </c>
      <c r="CB26" s="40">
        <v>15</v>
      </c>
      <c r="CD26" s="40">
        <v>41</v>
      </c>
      <c r="CE26" s="40">
        <v>20</v>
      </c>
      <c r="CG26" s="40">
        <v>39</v>
      </c>
      <c r="CH26" s="40">
        <v>45</v>
      </c>
      <c r="CI26" s="9"/>
      <c r="CJ26" s="40">
        <v>40</v>
      </c>
      <c r="CK26" s="40">
        <v>42</v>
      </c>
      <c r="CL26" s="22"/>
    </row>
    <row r="27" spans="1:90" ht="12.75" customHeight="1" x14ac:dyDescent="0.2">
      <c r="A27" s="20"/>
      <c r="B27" s="9" t="s">
        <v>13</v>
      </c>
      <c r="C27" s="9"/>
      <c r="D27" s="21">
        <v>137</v>
      </c>
      <c r="E27" s="21">
        <v>60</v>
      </c>
      <c r="F27" s="21"/>
      <c r="G27" s="21">
        <v>131</v>
      </c>
      <c r="H27" s="21">
        <v>54</v>
      </c>
      <c r="I27" s="21"/>
      <c r="J27" s="21">
        <v>123</v>
      </c>
      <c r="K27" s="21">
        <v>53</v>
      </c>
      <c r="L27" s="21"/>
      <c r="M27" s="21">
        <v>119</v>
      </c>
      <c r="N27" s="21">
        <v>84</v>
      </c>
      <c r="O27" s="21"/>
      <c r="P27" s="9">
        <v>113</v>
      </c>
      <c r="Q27" s="9">
        <v>76</v>
      </c>
      <c r="R27" s="9"/>
      <c r="S27" s="9">
        <v>117</v>
      </c>
      <c r="T27" s="9">
        <v>78</v>
      </c>
      <c r="U27" s="9"/>
      <c r="V27" s="9">
        <v>121</v>
      </c>
      <c r="W27" s="9">
        <v>80</v>
      </c>
      <c r="X27" s="9"/>
      <c r="Y27" s="9">
        <v>129</v>
      </c>
      <c r="Z27" s="9">
        <v>81</v>
      </c>
      <c r="AA27" s="9"/>
      <c r="AB27" s="9">
        <v>110</v>
      </c>
      <c r="AC27" s="9">
        <v>62</v>
      </c>
      <c r="AD27" s="9"/>
      <c r="AE27" s="21">
        <v>100</v>
      </c>
      <c r="AF27" s="21">
        <v>66</v>
      </c>
      <c r="AG27" s="21"/>
      <c r="AH27" s="9">
        <v>93</v>
      </c>
      <c r="AI27" s="9">
        <v>84</v>
      </c>
      <c r="AJ27" s="9"/>
      <c r="AK27" s="21">
        <v>89</v>
      </c>
      <c r="AL27" s="21">
        <v>86</v>
      </c>
      <c r="AM27" s="21"/>
      <c r="AN27" s="21">
        <v>97</v>
      </c>
      <c r="AO27" s="21">
        <v>82</v>
      </c>
      <c r="AP27" s="21"/>
      <c r="AQ27" s="21">
        <v>99</v>
      </c>
      <c r="AR27" s="21">
        <f>37+43</f>
        <v>80</v>
      </c>
      <c r="AS27" s="21"/>
      <c r="AT27" s="21">
        <v>110</v>
      </c>
      <c r="AU27" s="21">
        <v>78</v>
      </c>
      <c r="AV27" s="21"/>
      <c r="AW27" s="21">
        <f>68+45</f>
        <v>113</v>
      </c>
      <c r="AX27" s="21">
        <f>46+35</f>
        <v>81</v>
      </c>
      <c r="AY27" s="21"/>
      <c r="AZ27" s="21">
        <f>71+46</f>
        <v>117</v>
      </c>
      <c r="BA27" s="21">
        <f>31+31</f>
        <v>62</v>
      </c>
      <c r="BB27" s="21"/>
      <c r="BC27" s="21">
        <f>66+53</f>
        <v>119</v>
      </c>
      <c r="BD27" s="21">
        <f>32+24</f>
        <v>56</v>
      </c>
      <c r="BE27" s="21"/>
      <c r="BF27" s="21">
        <f>62+51</f>
        <v>113</v>
      </c>
      <c r="BG27" s="21">
        <f>30+34</f>
        <v>64</v>
      </c>
      <c r="BH27" s="21"/>
      <c r="BI27" s="21">
        <f>65+52</f>
        <v>117</v>
      </c>
      <c r="BJ27" s="21">
        <f>41+55</f>
        <v>96</v>
      </c>
      <c r="BK27" s="21"/>
      <c r="BL27" s="21">
        <f>75+50</f>
        <v>125</v>
      </c>
      <c r="BM27" s="21">
        <f>66+62</f>
        <v>128</v>
      </c>
      <c r="BN27" s="21"/>
      <c r="BO27" s="40">
        <v>125</v>
      </c>
      <c r="BP27" s="40">
        <v>110</v>
      </c>
      <c r="BR27" s="40">
        <v>127</v>
      </c>
      <c r="BS27" s="40">
        <v>115</v>
      </c>
      <c r="BU27" s="40">
        <v>124</v>
      </c>
      <c r="BV27" s="40">
        <v>101</v>
      </c>
      <c r="BW27" s="9"/>
      <c r="BX27" s="40">
        <v>128</v>
      </c>
      <c r="BY27" s="40">
        <v>83</v>
      </c>
      <c r="CA27" s="40">
        <v>125</v>
      </c>
      <c r="CB27" s="40">
        <v>90</v>
      </c>
      <c r="CD27" s="40">
        <v>115</v>
      </c>
      <c r="CE27" s="40">
        <v>91</v>
      </c>
      <c r="CG27" s="40">
        <v>116</v>
      </c>
      <c r="CH27" s="40">
        <v>47</v>
      </c>
      <c r="CI27" s="9"/>
      <c r="CJ27" s="40">
        <v>113</v>
      </c>
      <c r="CK27" s="40">
        <v>48</v>
      </c>
      <c r="CL27" s="22"/>
    </row>
    <row r="28" spans="1:90" s="34" customFormat="1" ht="12.75" customHeight="1" x14ac:dyDescent="0.2">
      <c r="A28" s="30"/>
      <c r="B28" s="6" t="s">
        <v>18</v>
      </c>
      <c r="C28" s="6"/>
      <c r="D28" s="37">
        <f>SUM(D23:D27)</f>
        <v>518</v>
      </c>
      <c r="E28" s="37">
        <f>SUM(E23:E27)</f>
        <v>242</v>
      </c>
      <c r="F28" s="37"/>
      <c r="G28" s="37">
        <f>SUM(G23:G27)</f>
        <v>529</v>
      </c>
      <c r="H28" s="37">
        <f>SUM(H23:H27)</f>
        <v>272</v>
      </c>
      <c r="I28" s="37"/>
      <c r="J28" s="37">
        <f>SUM(J23:J27)</f>
        <v>525</v>
      </c>
      <c r="K28" s="37">
        <f>SUM(K23:K27)</f>
        <v>264</v>
      </c>
      <c r="L28" s="37"/>
      <c r="M28" s="37">
        <f>SUM(M23:M27)</f>
        <v>524</v>
      </c>
      <c r="N28" s="37">
        <f>SUM(N23:N27)</f>
        <v>287</v>
      </c>
      <c r="O28" s="37"/>
      <c r="P28" s="37">
        <f>SUM(P23:P27)</f>
        <v>544</v>
      </c>
      <c r="Q28" s="37">
        <f>SUM(Q23:Q27)</f>
        <v>282</v>
      </c>
      <c r="R28" s="6"/>
      <c r="S28" s="37">
        <f>SUM(S23:S27)</f>
        <v>560</v>
      </c>
      <c r="T28" s="37">
        <f>SUM(T23:T27)</f>
        <v>256</v>
      </c>
      <c r="U28" s="6"/>
      <c r="V28" s="37">
        <f>SUM(V23:V27)</f>
        <v>590</v>
      </c>
      <c r="W28" s="37">
        <f>SUM(W23:W27)</f>
        <v>308</v>
      </c>
      <c r="X28" s="6"/>
      <c r="Y28" s="37">
        <f>SUM(Y23:Y27)</f>
        <v>613</v>
      </c>
      <c r="Z28" s="37">
        <f>SUM(Z23:Z27)</f>
        <v>323</v>
      </c>
      <c r="AA28" s="6"/>
      <c r="AB28" s="37">
        <f>SUM(AB23:AB27)</f>
        <v>561</v>
      </c>
      <c r="AC28" s="37">
        <f>SUM(AC23:AC27)</f>
        <v>328</v>
      </c>
      <c r="AD28" s="6"/>
      <c r="AE28" s="37">
        <f>SUM(AE23:AE27)</f>
        <v>548</v>
      </c>
      <c r="AF28" s="37">
        <f>SUM(AF23:AF27)</f>
        <v>312</v>
      </c>
      <c r="AG28" s="37"/>
      <c r="AH28" s="37">
        <f>SUM(AH23:AH27)</f>
        <v>556</v>
      </c>
      <c r="AI28" s="37">
        <f>SUM(AI23:AI27)</f>
        <v>260</v>
      </c>
      <c r="AJ28" s="6"/>
      <c r="AK28" s="37">
        <f>SUM(AK23:AK27)</f>
        <v>582</v>
      </c>
      <c r="AL28" s="37">
        <f>SUM(AL23:AL27)</f>
        <v>272</v>
      </c>
      <c r="AM28" s="37"/>
      <c r="AN28" s="37">
        <f>SUM(AN23:AN27)</f>
        <v>634</v>
      </c>
      <c r="AO28" s="37">
        <f>SUM(AO23:AO27)</f>
        <v>280</v>
      </c>
      <c r="AP28" s="37"/>
      <c r="AQ28" s="37">
        <f>SUM(AQ23:AQ27)</f>
        <v>658</v>
      </c>
      <c r="AR28" s="37">
        <f>SUM(AR23:AR27)</f>
        <v>292</v>
      </c>
      <c r="AS28" s="37"/>
      <c r="AT28" s="37">
        <f>SUM(AT23:AT27)</f>
        <v>672</v>
      </c>
      <c r="AU28" s="37">
        <f>SUM(AU23:AU27)</f>
        <v>316</v>
      </c>
      <c r="AV28" s="37"/>
      <c r="AW28" s="37">
        <f>SUM(AW23:AW27)</f>
        <v>676</v>
      </c>
      <c r="AX28" s="37">
        <f>SUM(AX23:AX27)</f>
        <v>327</v>
      </c>
      <c r="AY28" s="37"/>
      <c r="AZ28" s="37">
        <f>SUM(AZ23:AZ27)</f>
        <v>667</v>
      </c>
      <c r="BA28" s="37">
        <f>SUM(BA23:BA27)</f>
        <v>300</v>
      </c>
      <c r="BB28" s="37"/>
      <c r="BC28" s="37">
        <f>SUM(BC23:BC27)</f>
        <v>704</v>
      </c>
      <c r="BD28" s="37">
        <f>SUM(BD23:BD27)</f>
        <v>242</v>
      </c>
      <c r="BE28" s="37"/>
      <c r="BF28" s="37">
        <f>SUM(BF23:BF27)</f>
        <v>711</v>
      </c>
      <c r="BG28" s="37">
        <f>SUM(BG23:BG27)</f>
        <v>260</v>
      </c>
      <c r="BH28" s="37"/>
      <c r="BI28" s="37">
        <f>SUM(BI23:BI27)</f>
        <v>721</v>
      </c>
      <c r="BJ28" s="37">
        <f>SUM(BJ23:BJ27)</f>
        <v>285</v>
      </c>
      <c r="BK28" s="37"/>
      <c r="BL28" s="37">
        <f>SUM(BL23:BL27)</f>
        <v>735</v>
      </c>
      <c r="BM28" s="37">
        <f>SUM(BM23:BM27)</f>
        <v>293</v>
      </c>
      <c r="BN28" s="37"/>
      <c r="BO28" s="43">
        <f>SUM(BO23:BO27)</f>
        <v>739</v>
      </c>
      <c r="BP28" s="43">
        <f>SUM(BP23:BP27)</f>
        <v>286</v>
      </c>
      <c r="BQ28" s="43"/>
      <c r="BR28" s="43">
        <f>SUM(BR23:BR27)</f>
        <v>763</v>
      </c>
      <c r="BS28" s="43">
        <f>SUM(BS23:BS27)</f>
        <v>259</v>
      </c>
      <c r="BT28" s="43"/>
      <c r="BU28" s="43">
        <f>SUM(BU23:BU27)</f>
        <v>776</v>
      </c>
      <c r="BV28" s="43">
        <f>SUM(BV23:BV27)</f>
        <v>249</v>
      </c>
      <c r="BW28" s="6"/>
      <c r="BX28" s="43">
        <f>SUM(BX23:BX27)</f>
        <v>793</v>
      </c>
      <c r="BY28" s="43">
        <f>SUM(BY23:BY27)</f>
        <v>227</v>
      </c>
      <c r="BZ28" s="43"/>
      <c r="CA28" s="43">
        <f>SUM(CA23:CA27)</f>
        <v>752</v>
      </c>
      <c r="CB28" s="43">
        <f>SUM(CB23:CB27)</f>
        <v>211</v>
      </c>
      <c r="CC28" s="43"/>
      <c r="CD28" s="43">
        <f>SUM(CD23:CD27)</f>
        <v>774</v>
      </c>
      <c r="CE28" s="43">
        <f>SUM(CE23:CE27)</f>
        <v>227</v>
      </c>
      <c r="CF28" s="43"/>
      <c r="CG28" s="43">
        <f>SUM(CG23:CG27)</f>
        <v>751</v>
      </c>
      <c r="CH28" s="43">
        <f>SUM(CH23:CH27)</f>
        <v>221</v>
      </c>
      <c r="CI28" s="6"/>
      <c r="CJ28" s="43">
        <f>SUM(CJ23:CJ27)</f>
        <v>762</v>
      </c>
      <c r="CK28" s="43">
        <f>SUM(CK23:CK27)</f>
        <v>242</v>
      </c>
      <c r="CL28" s="33"/>
    </row>
    <row r="29" spans="1:90" ht="12.75" customHeight="1" x14ac:dyDescent="0.2">
      <c r="A29" s="20"/>
      <c r="B29" s="9"/>
      <c r="C29" s="9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21"/>
      <c r="AF29" s="21"/>
      <c r="AG29" s="21"/>
      <c r="AH29" s="9"/>
      <c r="AI29" s="9"/>
      <c r="AJ29" s="9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W29" s="9"/>
      <c r="CI29" s="9"/>
      <c r="CL29" s="22"/>
    </row>
    <row r="30" spans="1:90" ht="12.75" customHeight="1" x14ac:dyDescent="0.2">
      <c r="A30" s="20"/>
      <c r="B30" s="9"/>
      <c r="C30" s="9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21"/>
      <c r="AF30" s="21"/>
      <c r="AG30" s="21"/>
      <c r="AH30" s="9"/>
      <c r="AI30" s="9"/>
      <c r="AJ30" s="9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W30" s="9"/>
      <c r="CI30" s="9"/>
      <c r="CL30" s="22"/>
    </row>
    <row r="31" spans="1:90" s="34" customFormat="1" ht="12.75" customHeight="1" x14ac:dyDescent="0.2">
      <c r="A31" s="30"/>
      <c r="B31" s="6" t="s">
        <v>14</v>
      </c>
      <c r="C31" s="6"/>
      <c r="D31" s="31">
        <f t="shared" ref="D31:N31" si="2">SUM(D20:D27)+D13</f>
        <v>1010</v>
      </c>
      <c r="E31" s="31">
        <f t="shared" si="2"/>
        <v>510</v>
      </c>
      <c r="F31" s="31"/>
      <c r="G31" s="31">
        <f t="shared" si="2"/>
        <v>1036</v>
      </c>
      <c r="H31" s="31">
        <f t="shared" si="2"/>
        <v>559</v>
      </c>
      <c r="I31" s="31"/>
      <c r="J31" s="31">
        <f t="shared" si="2"/>
        <v>1027</v>
      </c>
      <c r="K31" s="31">
        <f t="shared" si="2"/>
        <v>588</v>
      </c>
      <c r="L31" s="31"/>
      <c r="M31" s="31">
        <f t="shared" si="2"/>
        <v>1049</v>
      </c>
      <c r="N31" s="31">
        <f t="shared" si="2"/>
        <v>742</v>
      </c>
      <c r="O31" s="31"/>
      <c r="P31" s="32">
        <f t="shared" ref="P31:AI31" si="3">SUM(P20:P27)+P13</f>
        <v>1077</v>
      </c>
      <c r="Q31" s="32">
        <f t="shared" si="3"/>
        <v>741</v>
      </c>
      <c r="R31" s="32"/>
      <c r="S31" s="32">
        <f t="shared" si="3"/>
        <v>1110</v>
      </c>
      <c r="T31" s="32">
        <f t="shared" si="3"/>
        <v>846</v>
      </c>
      <c r="U31" s="32"/>
      <c r="V31" s="32">
        <f t="shared" si="3"/>
        <v>1152</v>
      </c>
      <c r="W31" s="32">
        <f t="shared" si="3"/>
        <v>967</v>
      </c>
      <c r="X31" s="32"/>
      <c r="Y31" s="32">
        <f t="shared" si="3"/>
        <v>1217</v>
      </c>
      <c r="Z31" s="32">
        <f t="shared" si="3"/>
        <v>956</v>
      </c>
      <c r="AA31" s="32"/>
      <c r="AB31" s="32">
        <f t="shared" si="3"/>
        <v>1124</v>
      </c>
      <c r="AC31" s="32">
        <f t="shared" si="3"/>
        <v>980</v>
      </c>
      <c r="AD31" s="32"/>
      <c r="AE31" s="31">
        <f t="shared" si="3"/>
        <v>1138</v>
      </c>
      <c r="AF31" s="31">
        <f t="shared" si="3"/>
        <v>961</v>
      </c>
      <c r="AG31" s="31"/>
      <c r="AH31" s="32">
        <f t="shared" si="3"/>
        <v>1180</v>
      </c>
      <c r="AI31" s="32">
        <f t="shared" si="3"/>
        <v>894</v>
      </c>
      <c r="AJ31" s="32"/>
      <c r="AK31" s="31">
        <f>SUM(AK20:AK27)+AK13</f>
        <v>1193</v>
      </c>
      <c r="AL31" s="31">
        <f>SUM(AL20:AL27)+AL13</f>
        <v>944</v>
      </c>
      <c r="AM31" s="31"/>
      <c r="AN31" s="31">
        <f>SUM(AN20:AN27)+AN13</f>
        <v>1268</v>
      </c>
      <c r="AO31" s="31">
        <f>SUM(AO20:AO27)+AO13</f>
        <v>959</v>
      </c>
      <c r="AP31" s="31"/>
      <c r="AQ31" s="31">
        <f>SUM(AQ20:AQ27)+AQ13</f>
        <v>1300</v>
      </c>
      <c r="AR31" s="31">
        <f>SUM(AR20:AR27)+AR13</f>
        <v>1002</v>
      </c>
      <c r="AS31" s="31"/>
      <c r="AT31" s="31">
        <f>SUM(AT20:AT27)+AT13</f>
        <v>1318</v>
      </c>
      <c r="AU31" s="31">
        <f>SUM(AU20:AU27)+AU13</f>
        <v>1034</v>
      </c>
      <c r="AV31" s="31"/>
      <c r="AW31" s="31">
        <f>SUM(AW20:AW27)+AW13</f>
        <v>1331</v>
      </c>
      <c r="AX31" s="31">
        <f>SUM(AX20:AX27)+AX13</f>
        <v>1006</v>
      </c>
      <c r="AY31" s="31"/>
      <c r="AZ31" s="31">
        <f>SUM(AZ20:AZ27)+AZ13</f>
        <v>1320</v>
      </c>
      <c r="BA31" s="31">
        <f>SUM(BA20:BA27)+BA13</f>
        <v>1109</v>
      </c>
      <c r="BB31" s="31"/>
      <c r="BC31" s="31">
        <f>SUM(BC20:BC27)+BC13</f>
        <v>1355</v>
      </c>
      <c r="BD31" s="31">
        <f>SUM(BD20:BD27)+BD13</f>
        <v>1142</v>
      </c>
      <c r="BE31" s="31"/>
      <c r="BF31" s="31">
        <f>SUM(BF20:BF27)+BF13</f>
        <v>1364</v>
      </c>
      <c r="BG31" s="31">
        <f>SUM(BG20:BG27)+BG13</f>
        <v>1183</v>
      </c>
      <c r="BH31" s="31"/>
      <c r="BI31" s="31">
        <f>SUM(BI20:BI27)+BI13</f>
        <v>1385</v>
      </c>
      <c r="BJ31" s="31">
        <f>SUM(BJ20:BJ27)+BJ13</f>
        <v>1125</v>
      </c>
      <c r="BK31" s="31"/>
      <c r="BL31" s="31">
        <f>SUM(BL20:BL27)+BL13</f>
        <v>1383</v>
      </c>
      <c r="BM31" s="31">
        <f>SUM(BM20:BM27)+BM13</f>
        <v>1212</v>
      </c>
      <c r="BN31" s="31"/>
      <c r="BO31" s="43">
        <f>BO13+BO20+BO28</f>
        <v>1417</v>
      </c>
      <c r="BP31" s="43">
        <f>BP13+BP20+BP28</f>
        <v>1123</v>
      </c>
      <c r="BQ31" s="43"/>
      <c r="BR31" s="43">
        <f>BR13+BR20+BR28</f>
        <v>1463</v>
      </c>
      <c r="BS31" s="43">
        <f>BS13+BS20+BS28</f>
        <v>1211</v>
      </c>
      <c r="BT31" s="43"/>
      <c r="BU31" s="43">
        <f>BU13+BU20+BU28</f>
        <v>1499</v>
      </c>
      <c r="BV31" s="43">
        <f>BV13+BV20+BV28</f>
        <v>1158</v>
      </c>
      <c r="BW31" s="6"/>
      <c r="BX31" s="43">
        <f>BX13+BX20+BX28</f>
        <v>1502</v>
      </c>
      <c r="BY31" s="43">
        <f>BY13+BY20+BY28</f>
        <v>1091</v>
      </c>
      <c r="BZ31" s="43"/>
      <c r="CA31" s="43">
        <f>CA13+CA20+CA28</f>
        <v>1450</v>
      </c>
      <c r="CB31" s="43">
        <f>CB13+CB20+CB28</f>
        <v>1126</v>
      </c>
      <c r="CC31" s="43"/>
      <c r="CD31" s="43">
        <f>CD13+CD20+CD28</f>
        <v>1496</v>
      </c>
      <c r="CE31" s="43">
        <f>CE13+CE20+CE28</f>
        <v>1195</v>
      </c>
      <c r="CF31" s="43"/>
      <c r="CG31" s="43">
        <f>CG13+CG20+CG28</f>
        <v>1461</v>
      </c>
      <c r="CH31" s="43">
        <f>CH13+CH20+CH28</f>
        <v>1165</v>
      </c>
      <c r="CI31" s="6"/>
      <c r="CJ31" s="43">
        <f>CJ13+CJ20+CJ28</f>
        <v>1476</v>
      </c>
      <c r="CK31" s="43">
        <f>CK13+CK20+CK28</f>
        <v>1226</v>
      </c>
      <c r="CL31" s="33"/>
    </row>
    <row r="32" spans="1:90" ht="12.75" customHeight="1" x14ac:dyDescent="0.2">
      <c r="A32" s="20"/>
      <c r="B32" s="9"/>
      <c r="C32" s="9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21"/>
      <c r="AF32" s="21"/>
      <c r="AG32" s="21"/>
      <c r="AH32" s="9"/>
      <c r="AI32" s="9"/>
      <c r="AJ32" s="9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W32" s="9"/>
      <c r="CI32" s="9"/>
      <c r="CL32" s="22"/>
    </row>
    <row r="33" spans="1:90" ht="12.75" customHeight="1" x14ac:dyDescent="0.2">
      <c r="A33" s="20"/>
      <c r="B33" s="9"/>
      <c r="C33" s="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21"/>
      <c r="AF33" s="21"/>
      <c r="AG33" s="21"/>
      <c r="AH33" s="9"/>
      <c r="AI33" s="9"/>
      <c r="AJ33" s="9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W33" s="9"/>
      <c r="CI33" s="9"/>
      <c r="CL33" s="22"/>
    </row>
    <row r="34" spans="1:90" ht="12.75" customHeight="1" x14ac:dyDescent="0.2">
      <c r="A34" s="20"/>
      <c r="B34" s="26" t="s">
        <v>50</v>
      </c>
      <c r="C34" s="2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1"/>
      <c r="AF34" s="21"/>
      <c r="AG34" s="21"/>
      <c r="AH34" s="9"/>
      <c r="AI34" s="9"/>
      <c r="AJ34" s="9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W34" s="9"/>
      <c r="CI34" s="9"/>
      <c r="CL34" s="22"/>
    </row>
    <row r="35" spans="1:90" ht="12.75" customHeight="1" x14ac:dyDescent="0.2">
      <c r="A35" s="20"/>
      <c r="B35" s="9"/>
      <c r="C35" s="9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21"/>
      <c r="AF35" s="21"/>
      <c r="AG35" s="21"/>
      <c r="AH35" s="9"/>
      <c r="AI35" s="9"/>
      <c r="AJ35" s="9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W35" s="9"/>
      <c r="CI35" s="9"/>
      <c r="CL35" s="22"/>
    </row>
    <row r="36" spans="1:90" ht="12.75" customHeight="1" x14ac:dyDescent="0.2">
      <c r="A36" s="27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1"/>
      <c r="AF36" s="11"/>
      <c r="AG36" s="11"/>
      <c r="AH36" s="10"/>
      <c r="AI36" s="10"/>
      <c r="AJ36" s="10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44"/>
      <c r="BP36" s="44"/>
      <c r="BQ36" s="44"/>
      <c r="BR36" s="44"/>
      <c r="BS36" s="44"/>
      <c r="BT36" s="44"/>
      <c r="BU36" s="44"/>
      <c r="BV36" s="44"/>
      <c r="BW36" s="10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10"/>
      <c r="CJ36" s="44"/>
      <c r="CK36" s="44"/>
      <c r="CL36" s="28"/>
    </row>
  </sheetData>
  <mergeCells count="29">
    <mergeCell ref="D10:E10"/>
    <mergeCell ref="G10:H10"/>
    <mergeCell ref="J10:K10"/>
    <mergeCell ref="M10:N10"/>
    <mergeCell ref="AN10:AO10"/>
    <mergeCell ref="P10:Q10"/>
    <mergeCell ref="S10:T10"/>
    <mergeCell ref="V10:W10"/>
    <mergeCell ref="AH10:AI10"/>
    <mergeCell ref="AK10:AL10"/>
    <mergeCell ref="Y10:Z10"/>
    <mergeCell ref="AB10:AC10"/>
    <mergeCell ref="AT10:AU10"/>
    <mergeCell ref="AE10:AF10"/>
    <mergeCell ref="AW10:AX10"/>
    <mergeCell ref="BI10:BJ10"/>
    <mergeCell ref="BC10:BD10"/>
    <mergeCell ref="AQ10:AR10"/>
    <mergeCell ref="BU10:BV10"/>
    <mergeCell ref="BF10:BG10"/>
    <mergeCell ref="CJ10:CK10"/>
    <mergeCell ref="AZ10:BA10"/>
    <mergeCell ref="BX10:BY10"/>
    <mergeCell ref="CA10:CB10"/>
    <mergeCell ref="CD10:CE10"/>
    <mergeCell ref="CG10:CH10"/>
    <mergeCell ref="BR10:BS10"/>
    <mergeCell ref="BL10:BM10"/>
    <mergeCell ref="BO10:BP10"/>
  </mergeCells>
  <phoneticPr fontId="0" type="noConversion"/>
  <printOptions horizontalCentered="1"/>
  <pageMargins left="0.25" right="0.25" top="0.5" bottom="0.5" header="0" footer="0.22"/>
  <pageSetup scale="95" orientation="landscape" r:id="rId1"/>
  <headerFooter alignWithMargins="0">
    <oddFooter>&amp;L&amp;"Times New Roman,Regular"&amp;8UMSL Fact Book&amp;C&amp;"Times New Roman,Regular"&amp;8&amp;A&amp;R&amp;"Times New Roman,Regular"&amp;8Last Updated 07/23/2013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ft_pt_employees_occupation</vt:lpstr>
      <vt:lpstr>ft_pt_employees_occupation!Print_Area</vt:lpstr>
      <vt:lpstr>ft_pt_employees_occupation!Print_Titles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Thaxton, Mary</cp:lastModifiedBy>
  <cp:lastPrinted>2014-07-25T14:22:02Z</cp:lastPrinted>
  <dcterms:created xsi:type="dcterms:W3CDTF">1999-01-19T21:01:56Z</dcterms:created>
  <dcterms:modified xsi:type="dcterms:W3CDTF">2014-07-25T18:26:54Z</dcterms:modified>
</cp:coreProperties>
</file>